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vachinoda/Desktop/Business Plans/Nankie Ramabu/FINANCIALS/Bala Media/"/>
    </mc:Choice>
  </mc:AlternateContent>
  <xr:revisionPtr revIDLastSave="0" documentId="13_ncr:1_{B55A39F3-EE0B-474E-B0D9-DCB6AE8BBB25}" xr6:coauthVersionLast="44" xr6:coauthVersionMax="44" xr10:uidLastSave="{00000000-0000-0000-0000-000000000000}"/>
  <bookViews>
    <workbookView xWindow="11460" yWindow="480" windowWidth="14120" windowHeight="14560" firstSheet="2" activeTab="4" xr2:uid="{00000000-000D-0000-FFFF-FFFF00000000}"/>
  </bookViews>
  <sheets>
    <sheet name="12 Months cash flow statement" sheetId="1" r:id="rId1"/>
    <sheet name="5 Year cash flow projections" sheetId="2" r:id="rId2"/>
    <sheet name="Revenue Forecast" sheetId="7" r:id="rId3"/>
    <sheet name="5 year income statement" sheetId="5" r:id="rId4"/>
    <sheet name="Balance sheet 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7" l="1"/>
  <c r="D5" i="6" l="1"/>
  <c r="C5" i="6"/>
  <c r="E5" i="6"/>
  <c r="F5" i="6"/>
  <c r="B5" i="6"/>
  <c r="C11" i="6"/>
  <c r="D11" i="6"/>
  <c r="B11" i="6"/>
  <c r="C22" i="5"/>
  <c r="C11" i="5"/>
  <c r="C8" i="5"/>
  <c r="B21" i="5" l="1"/>
  <c r="B9" i="1"/>
  <c r="B8" i="1"/>
  <c r="J9" i="1"/>
  <c r="K9" i="1"/>
  <c r="B28" i="2"/>
  <c r="B29" i="2"/>
  <c r="B30" i="2"/>
  <c r="B27" i="2"/>
  <c r="B26" i="2"/>
  <c r="B25" i="2"/>
  <c r="B11" i="2"/>
  <c r="B10" i="2"/>
  <c r="N29" i="1"/>
  <c r="D10" i="6"/>
  <c r="E10" i="6"/>
  <c r="F10" i="6"/>
  <c r="C4" i="5"/>
  <c r="D4" i="5"/>
  <c r="E4" i="5"/>
  <c r="F4" i="5"/>
  <c r="B4" i="5"/>
  <c r="D5" i="2"/>
  <c r="E5" i="2"/>
  <c r="E10" i="2" s="1"/>
  <c r="F5" i="2"/>
  <c r="C5" i="2"/>
  <c r="C9" i="1"/>
  <c r="D8" i="1"/>
  <c r="E8" i="1"/>
  <c r="F8" i="1"/>
  <c r="G8" i="1"/>
  <c r="H8" i="1"/>
  <c r="I8" i="1"/>
  <c r="J8" i="1"/>
  <c r="K8" i="1"/>
  <c r="L8" i="1"/>
  <c r="M8" i="1"/>
  <c r="C8" i="1"/>
  <c r="N5" i="1"/>
  <c r="C9" i="7"/>
  <c r="E24" i="7"/>
  <c r="D24" i="7"/>
  <c r="C24" i="7"/>
  <c r="B24" i="7"/>
  <c r="F23" i="7"/>
  <c r="F22" i="7"/>
  <c r="F21" i="7"/>
  <c r="F20" i="7"/>
  <c r="F24" i="7"/>
  <c r="C14" i="7"/>
  <c r="D14" i="7" s="1"/>
  <c r="E14" i="7" s="1"/>
  <c r="F14" i="7" s="1"/>
  <c r="C13" i="7"/>
  <c r="D13" i="7" s="1"/>
  <c r="E13" i="7" s="1"/>
  <c r="F13" i="7" s="1"/>
  <c r="C12" i="7"/>
  <c r="D12" i="7" s="1"/>
  <c r="E12" i="7" s="1"/>
  <c r="F12" i="7" s="1"/>
  <c r="C11" i="7"/>
  <c r="D11" i="7" s="1"/>
  <c r="E11" i="7" s="1"/>
  <c r="F11" i="7" s="1"/>
  <c r="C8" i="7"/>
  <c r="D8" i="7" s="1"/>
  <c r="E8" i="7" s="1"/>
  <c r="F8" i="7" s="1"/>
  <c r="C7" i="7"/>
  <c r="D7" i="7" s="1"/>
  <c r="E7" i="7" s="1"/>
  <c r="F7" i="7" s="1"/>
  <c r="C6" i="7"/>
  <c r="D6" i="7" s="1"/>
  <c r="E6" i="7" s="1"/>
  <c r="F6" i="7" s="1"/>
  <c r="C5" i="7"/>
  <c r="D5" i="7" s="1"/>
  <c r="E5" i="7" s="1"/>
  <c r="F5" i="7" s="1"/>
  <c r="C10" i="2" l="1"/>
  <c r="B25" i="6"/>
  <c r="B21" i="6"/>
  <c r="C25" i="6"/>
  <c r="D25" i="6"/>
  <c r="E25" i="6"/>
  <c r="F25" i="6"/>
  <c r="B9" i="7"/>
  <c r="E11" i="2"/>
  <c r="D18" i="2"/>
  <c r="C9" i="5" l="1"/>
  <c r="B15" i="7"/>
  <c r="B16" i="7" s="1"/>
  <c r="B5" i="5" s="1"/>
  <c r="B12" i="6" s="1"/>
  <c r="B9" i="6" s="1"/>
  <c r="B10" i="1" l="1"/>
  <c r="C10" i="1" l="1"/>
  <c r="D10" i="1"/>
  <c r="E10" i="1"/>
  <c r="F10" i="1"/>
  <c r="G10" i="1"/>
  <c r="H10" i="1"/>
  <c r="I10" i="1"/>
  <c r="J10" i="1"/>
  <c r="K10" i="1"/>
  <c r="L10" i="1"/>
  <c r="M10" i="1"/>
  <c r="E20" i="2"/>
  <c r="F20" i="2" s="1"/>
  <c r="D9" i="7" l="1"/>
  <c r="E14" i="2"/>
  <c r="D11" i="5"/>
  <c r="F11" i="5"/>
  <c r="F9" i="7" l="1"/>
  <c r="E9" i="7"/>
  <c r="C20" i="5"/>
  <c r="D20" i="5"/>
  <c r="E20" i="5"/>
  <c r="F20" i="5"/>
  <c r="D22" i="5"/>
  <c r="E22" i="5"/>
  <c r="F22" i="5"/>
  <c r="C21" i="5"/>
  <c r="D21" i="5"/>
  <c r="E21" i="5"/>
  <c r="F21" i="5"/>
  <c r="C19" i="5"/>
  <c r="D19" i="5"/>
  <c r="E19" i="5"/>
  <c r="F19" i="5"/>
  <c r="C18" i="5"/>
  <c r="D18" i="5"/>
  <c r="E18" i="5"/>
  <c r="F18" i="5"/>
  <c r="D16" i="5"/>
  <c r="F15" i="5"/>
  <c r="E13" i="5"/>
  <c r="F13" i="5"/>
  <c r="C12" i="5"/>
  <c r="D12" i="5"/>
  <c r="E12" i="5"/>
  <c r="F12" i="5"/>
  <c r="E9" i="5"/>
  <c r="D8" i="5"/>
  <c r="D10" i="2" l="1"/>
  <c r="N26" i="1"/>
  <c r="N30" i="1"/>
  <c r="F10" i="2" l="1"/>
  <c r="B22" i="5"/>
  <c r="C26" i="2"/>
  <c r="N19" i="1"/>
  <c r="C7" i="2" l="1"/>
  <c r="F6" i="2"/>
  <c r="C21" i="6"/>
  <c r="C15" i="7" l="1"/>
  <c r="C16" i="7"/>
  <c r="F21" i="6"/>
  <c r="E21" i="6"/>
  <c r="D21" i="6"/>
  <c r="D9" i="1"/>
  <c r="E9" i="1"/>
  <c r="F9" i="1"/>
  <c r="G9" i="1"/>
  <c r="H9" i="1"/>
  <c r="I9" i="1"/>
  <c r="L9" i="1"/>
  <c r="M9" i="1"/>
  <c r="B31" i="1"/>
  <c r="B34" i="1" s="1"/>
  <c r="N10" i="1"/>
  <c r="N11" i="1"/>
  <c r="B8" i="5" s="1"/>
  <c r="A15" i="2"/>
  <c r="N13" i="1"/>
  <c r="B13" i="2" s="1"/>
  <c r="A6" i="2"/>
  <c r="N24" i="1"/>
  <c r="B24" i="2" s="1"/>
  <c r="B20" i="5" s="1"/>
  <c r="N25" i="1"/>
  <c r="N27" i="1"/>
  <c r="D15" i="7" l="1"/>
  <c r="D16" i="7" s="1"/>
  <c r="E11" i="5"/>
  <c r="B10" i="5"/>
  <c r="C31" i="1"/>
  <c r="F15" i="7" l="1"/>
  <c r="F16" i="7" s="1"/>
  <c r="E15" i="7"/>
  <c r="E16" i="7" s="1"/>
  <c r="C5" i="5"/>
  <c r="C12" i="6" s="1"/>
  <c r="F5" i="5" l="1"/>
  <c r="F12" i="6" s="1"/>
  <c r="E5" i="5"/>
  <c r="E12" i="6" s="1"/>
  <c r="D5" i="5"/>
  <c r="D12" i="6" s="1"/>
  <c r="D9" i="6" s="1"/>
  <c r="N16" i="1"/>
  <c r="B16" i="2" l="1"/>
  <c r="B12" i="5" s="1"/>
  <c r="A18" i="2"/>
  <c r="D7" i="2"/>
  <c r="E7" i="2"/>
  <c r="F7" i="2" s="1"/>
  <c r="N18" i="1"/>
  <c r="B18" i="2" s="1"/>
  <c r="N15" i="1"/>
  <c r="B15" i="2" s="1"/>
  <c r="N7" i="1"/>
  <c r="B7" i="2" s="1"/>
  <c r="F18" i="2" l="1"/>
  <c r="A23" i="2"/>
  <c r="N23" i="1"/>
  <c r="B23" i="2" s="1"/>
  <c r="B19" i="5" s="1"/>
  <c r="A28" i="2" l="1"/>
  <c r="A22" i="2"/>
  <c r="A21" i="2"/>
  <c r="A20" i="2"/>
  <c r="A19" i="2"/>
  <c r="A17" i="2"/>
  <c r="A14" i="2"/>
  <c r="A13" i="2"/>
  <c r="A12" i="2"/>
  <c r="A11" i="2"/>
  <c r="N28" i="1"/>
  <c r="C34" i="1" l="1"/>
  <c r="B5" i="2" l="1"/>
  <c r="C11" i="2"/>
  <c r="B6" i="2"/>
  <c r="N17" i="1"/>
  <c r="B17" i="2" s="1"/>
  <c r="B8" i="2" l="1"/>
  <c r="F11" i="2"/>
  <c r="F8" i="5" s="1"/>
  <c r="E8" i="5"/>
  <c r="B31" i="2"/>
  <c r="N6" i="1"/>
  <c r="N8" i="1" s="1"/>
  <c r="B13" i="5" l="1"/>
  <c r="B14" i="5"/>
  <c r="L31" i="1"/>
  <c r="J31" i="1"/>
  <c r="H31" i="1"/>
  <c r="F31" i="1"/>
  <c r="D31" i="1"/>
  <c r="M31" i="1"/>
  <c r="K31" i="1"/>
  <c r="I31" i="1"/>
  <c r="G31" i="1"/>
  <c r="E31" i="1"/>
  <c r="N21" i="1" l="1"/>
  <c r="N20" i="1"/>
  <c r="B20" i="2" s="1"/>
  <c r="B16" i="5" s="1"/>
  <c r="B19" i="2"/>
  <c r="N14" i="1"/>
  <c r="B14" i="2" s="1"/>
  <c r="N12" i="1"/>
  <c r="B12" i="2" s="1"/>
  <c r="E34" i="1"/>
  <c r="B15" i="5" l="1"/>
  <c r="C19" i="2"/>
  <c r="D19" i="2" s="1"/>
  <c r="B9" i="5"/>
  <c r="B11" i="5"/>
  <c r="B21" i="2"/>
  <c r="L34" i="1"/>
  <c r="J34" i="1"/>
  <c r="H34" i="1"/>
  <c r="D34" i="1"/>
  <c r="F34" i="1"/>
  <c r="M34" i="1"/>
  <c r="K34" i="1"/>
  <c r="I34" i="1"/>
  <c r="G34" i="1"/>
  <c r="B17" i="5" l="1"/>
  <c r="C21" i="2"/>
  <c r="E19" i="2"/>
  <c r="E15" i="5" s="1"/>
  <c r="D15" i="5"/>
  <c r="C8" i="2"/>
  <c r="C31" i="2" s="1"/>
  <c r="D21" i="2" l="1"/>
  <c r="C17" i="5"/>
  <c r="B6" i="5"/>
  <c r="E21" i="2" l="1"/>
  <c r="F21" i="2" s="1"/>
  <c r="D17" i="5"/>
  <c r="D8" i="2"/>
  <c r="D31" i="2" s="1"/>
  <c r="C6" i="5"/>
  <c r="F8" i="2" l="1"/>
  <c r="E8" i="2"/>
  <c r="E31" i="2" s="1"/>
  <c r="D6" i="5"/>
  <c r="F31" i="2" l="1"/>
  <c r="F6" i="5"/>
  <c r="E6" i="5"/>
  <c r="B35" i="1" l="1"/>
  <c r="C33" i="1" s="1"/>
  <c r="C35" i="1" s="1"/>
  <c r="D33" i="1" s="1"/>
  <c r="D35" i="1" s="1"/>
  <c r="E33" i="1" s="1"/>
  <c r="E35" i="1" s="1"/>
  <c r="F33" i="1" s="1"/>
  <c r="F35" i="1" s="1"/>
  <c r="G33" i="1" s="1"/>
  <c r="G35" i="1" s="1"/>
  <c r="H33" i="1" s="1"/>
  <c r="H35" i="1" s="1"/>
  <c r="I33" i="1" s="1"/>
  <c r="I35" i="1" s="1"/>
  <c r="J33" i="1" s="1"/>
  <c r="J35" i="1" s="1"/>
  <c r="K33" i="1" s="1"/>
  <c r="K35" i="1" s="1"/>
  <c r="L33" i="1" s="1"/>
  <c r="L35" i="1" s="1"/>
  <c r="M33" i="1" s="1"/>
  <c r="M35" i="1" s="1"/>
  <c r="N33" i="1" s="1"/>
  <c r="N22" i="1"/>
  <c r="N9" i="1" l="1"/>
  <c r="N31" i="1" s="1"/>
  <c r="N34" i="1" s="1"/>
  <c r="N35" i="1" s="1"/>
  <c r="B22" i="2"/>
  <c r="B9" i="2" s="1"/>
  <c r="B32" i="2" l="1"/>
  <c r="B33" i="2" s="1"/>
  <c r="B18" i="5"/>
  <c r="B7" i="5" s="1"/>
  <c r="B24" i="5" s="1"/>
  <c r="B25" i="5" s="1"/>
  <c r="B26" i="5" l="1"/>
  <c r="B19" i="6" s="1"/>
  <c r="B17" i="6" l="1"/>
  <c r="B31" i="6" s="1"/>
  <c r="C15" i="5"/>
  <c r="C20" i="2"/>
  <c r="C13" i="2"/>
  <c r="B36" i="2"/>
  <c r="C9" i="2" l="1"/>
  <c r="C32" i="2" s="1"/>
  <c r="C33" i="2" s="1"/>
  <c r="C36" i="2" s="1"/>
  <c r="E17" i="5"/>
  <c r="C13" i="5"/>
  <c r="C16" i="5"/>
  <c r="F13" i="2"/>
  <c r="B37" i="2"/>
  <c r="D9" i="5"/>
  <c r="F17" i="5" l="1"/>
  <c r="C7" i="5"/>
  <c r="C24" i="5" s="1"/>
  <c r="C25" i="5" s="1"/>
  <c r="F16" i="5"/>
  <c r="E16" i="5"/>
  <c r="E7" i="5" s="1"/>
  <c r="E24" i="5" s="1"/>
  <c r="D13" i="5"/>
  <c r="C35" i="2"/>
  <c r="B14" i="6"/>
  <c r="C26" i="5" l="1"/>
  <c r="C28" i="5" s="1"/>
  <c r="D27" i="2"/>
  <c r="D9" i="2" s="1"/>
  <c r="D32" i="2" s="1"/>
  <c r="D33" i="2" s="1"/>
  <c r="D36" i="2" s="1"/>
  <c r="C37" i="2"/>
  <c r="E25" i="5"/>
  <c r="D7" i="5"/>
  <c r="D24" i="5" s="1"/>
  <c r="C19" i="6" l="1"/>
  <c r="C17" i="6" s="1"/>
  <c r="C31" i="6" s="1"/>
  <c r="E26" i="5"/>
  <c r="E28" i="5" s="1"/>
  <c r="E19" i="6" s="1"/>
  <c r="E17" i="6" s="1"/>
  <c r="E31" i="6" s="1"/>
  <c r="F27" i="2"/>
  <c r="F9" i="2" s="1"/>
  <c r="F9" i="5"/>
  <c r="F7" i="5" s="1"/>
  <c r="F24" i="5" s="1"/>
  <c r="F25" i="5" s="1"/>
  <c r="C9" i="6"/>
  <c r="C14" i="6" s="1"/>
  <c r="D35" i="2"/>
  <c r="D25" i="5"/>
  <c r="D26" i="5" l="1"/>
  <c r="D28" i="5" s="1"/>
  <c r="E27" i="2"/>
  <c r="E9" i="2" s="1"/>
  <c r="E32" i="2" s="1"/>
  <c r="E33" i="2" s="1"/>
  <c r="E36" i="2" s="1"/>
  <c r="D37" i="2"/>
  <c r="F26" i="5"/>
  <c r="F28" i="5" s="1"/>
  <c r="F19" i="6" s="1"/>
  <c r="F17" i="6" s="1"/>
  <c r="F31" i="6" s="1"/>
  <c r="D14" i="6"/>
  <c r="F32" i="2"/>
  <c r="F33" i="2" s="1"/>
  <c r="F36" i="2" s="1"/>
  <c r="D19" i="6" l="1"/>
  <c r="D17" i="6" s="1"/>
  <c r="D31" i="6" s="1"/>
  <c r="E35" i="2"/>
  <c r="E37" i="2" s="1"/>
  <c r="E11" i="6" s="1"/>
  <c r="E9" i="6" s="1"/>
  <c r="E14" i="6" s="1"/>
  <c r="F35" i="2" l="1"/>
  <c r="F37" i="2" s="1"/>
  <c r="F11" i="6" s="1"/>
  <c r="F9" i="6" s="1"/>
  <c r="F14" i="6" s="1"/>
</calcChain>
</file>

<file path=xl/sharedStrings.xml><?xml version="1.0" encoding="utf-8"?>
<sst xmlns="http://schemas.openxmlformats.org/spreadsheetml/2006/main" count="167" uniqueCount="125">
  <si>
    <t>TOTAL</t>
  </si>
  <si>
    <t>CASH RECEIPTS</t>
  </si>
  <si>
    <t>LESS CASH PAYMENTS</t>
  </si>
  <si>
    <t>Opening balance</t>
  </si>
  <si>
    <t>plus surplus/defecit</t>
  </si>
  <si>
    <t>closing balance</t>
  </si>
  <si>
    <t>SURPLUS/DEFECIT</t>
  </si>
  <si>
    <t>DESCRIPTION</t>
  </si>
  <si>
    <t>YEAR 1</t>
  </si>
  <si>
    <t>YEAR 2</t>
  </si>
  <si>
    <t>YEAR 3</t>
  </si>
  <si>
    <t>YEAR 4</t>
  </si>
  <si>
    <t>YEAR 5</t>
  </si>
  <si>
    <t>TOTAL CASH RECEIVED</t>
  </si>
  <si>
    <t>CASH RECEIVED</t>
  </si>
  <si>
    <t>SURPLUS/ DEFECIT</t>
  </si>
  <si>
    <t>Plus surplus</t>
  </si>
  <si>
    <t>less cost of sales</t>
  </si>
  <si>
    <t>GROSS PROFIT</t>
  </si>
  <si>
    <t>insurance</t>
  </si>
  <si>
    <t>MONTH 6</t>
  </si>
  <si>
    <t>MONTH 7</t>
  </si>
  <si>
    <t>MONTH 8</t>
  </si>
  <si>
    <t>MONTH 9</t>
  </si>
  <si>
    <t>MONTH 10</t>
  </si>
  <si>
    <t>MONTH 11</t>
  </si>
  <si>
    <t>MONTH 12</t>
  </si>
  <si>
    <t>Profit before tax</t>
  </si>
  <si>
    <t>Month 1</t>
  </si>
  <si>
    <t>Month 2</t>
  </si>
  <si>
    <t>Month 3</t>
  </si>
  <si>
    <t>Month 4</t>
  </si>
  <si>
    <t>Month 5</t>
  </si>
  <si>
    <t>owner's contributions</t>
  </si>
  <si>
    <t>Business loan</t>
  </si>
  <si>
    <t>Loan repayments</t>
  </si>
  <si>
    <t>First Quarter</t>
  </si>
  <si>
    <t>Second Qoarter</t>
  </si>
  <si>
    <t>Third Quarter</t>
  </si>
  <si>
    <t>Fourth Quarter</t>
  </si>
  <si>
    <t>Revenue</t>
  </si>
  <si>
    <t>Bank Charges</t>
  </si>
  <si>
    <t xml:space="preserve">Insurance </t>
  </si>
  <si>
    <t>Office Expense</t>
  </si>
  <si>
    <t>Postage</t>
  </si>
  <si>
    <t>Stationery</t>
  </si>
  <si>
    <t>Telephone &amp; Internet</t>
  </si>
  <si>
    <t>Net Income (Loss)</t>
  </si>
  <si>
    <t>Taxation</t>
  </si>
  <si>
    <t>COST OF SALES INCREASE BY 8%</t>
  </si>
  <si>
    <t>Alarm system &amp; Security</t>
  </si>
  <si>
    <t>Advertising</t>
  </si>
  <si>
    <t>Depreciation</t>
  </si>
  <si>
    <t>Rent, Water &amp; Electricity</t>
  </si>
  <si>
    <t>Fuel &amp; Delivery</t>
  </si>
  <si>
    <t>Accounting &amp; Audit Fees</t>
  </si>
  <si>
    <t>Finance Cost</t>
  </si>
  <si>
    <t>ASSUMPTIONS</t>
  </si>
  <si>
    <t>Accounting &amp; Audit fees</t>
  </si>
  <si>
    <t>Office Expenditure</t>
  </si>
  <si>
    <t>Rental, Water &amp; Electricity</t>
  </si>
  <si>
    <t>Wages &amp; Salaries</t>
  </si>
  <si>
    <t>Furniture &amp; Fittings</t>
  </si>
  <si>
    <t>Salaries &amp; Wages</t>
  </si>
  <si>
    <t>Alarm &amp; Security</t>
  </si>
  <si>
    <t>Alam &amp; Security</t>
  </si>
  <si>
    <t xml:space="preserve">Total </t>
  </si>
  <si>
    <t>CASH</t>
  </si>
  <si>
    <t>CREDIT</t>
  </si>
  <si>
    <t>Cost of sales</t>
  </si>
  <si>
    <t>Cost of Sales</t>
  </si>
  <si>
    <t xml:space="preserve">BALA MEDIA PROJECTED STATEMENT OF FINANCIAL POSITION FOR FIVE YEARS </t>
  </si>
  <si>
    <t>Year 1</t>
  </si>
  <si>
    <t>Year 2</t>
  </si>
  <si>
    <t>Year 3</t>
  </si>
  <si>
    <t>Assets</t>
  </si>
  <si>
    <t>Non-Current Assets</t>
  </si>
  <si>
    <t>Currents Assets</t>
  </si>
  <si>
    <t>Inventory</t>
  </si>
  <si>
    <t>Total Assets</t>
  </si>
  <si>
    <t>Members interest</t>
  </si>
  <si>
    <t>Non-current liabilities</t>
  </si>
  <si>
    <t>Members Loans</t>
  </si>
  <si>
    <t>Long Term liabilities</t>
  </si>
  <si>
    <t>Current liabilities</t>
  </si>
  <si>
    <t>Interest</t>
  </si>
  <si>
    <t>Trade &amp; Other Payables</t>
  </si>
  <si>
    <t>Current Potion of long term loan</t>
  </si>
  <si>
    <t>Total Equity &amp; Liabiites</t>
  </si>
  <si>
    <t>Cash  &amp; Cash Equivalence</t>
  </si>
  <si>
    <t>Equity &amp; Liabilities</t>
  </si>
  <si>
    <t>Year 4</t>
  </si>
  <si>
    <t>Year 5</t>
  </si>
  <si>
    <t>Retained Earnings</t>
  </si>
  <si>
    <t>Dividend</t>
  </si>
  <si>
    <t xml:space="preserve">Equity </t>
  </si>
  <si>
    <t>BALA MEDIA POJECTED STATEMENT OF PROFIT OR LOSS AND OTHER COMPREHENSIVE INCOME FOR FIVE YEARS</t>
  </si>
  <si>
    <t>Less Operating Expenditure</t>
  </si>
  <si>
    <t>NB. Depereciation was culculated at 20% annually in all the fixed assets using straight line method</t>
  </si>
  <si>
    <t>Depreciation is  20% pa  using straight line method on all property, plant and equipment</t>
  </si>
  <si>
    <t>Vehicles</t>
  </si>
  <si>
    <t>Consulting</t>
  </si>
  <si>
    <t>Assumptions</t>
  </si>
  <si>
    <t>2. Loan repayment is 10 years</t>
  </si>
  <si>
    <t>Vehicle</t>
  </si>
  <si>
    <t>Repairs &amp; Maintenance</t>
  </si>
  <si>
    <t>Revenues icreased by 20% per year</t>
  </si>
  <si>
    <t>FIVE YEAR REVENUE PROJECTIONS</t>
  </si>
  <si>
    <t>PROJECTED STTEMENT OF CASHLOW FOR FIVE YEARS</t>
  </si>
  <si>
    <t>STATEMENT OF CASH FLOW FOR TWELVE MONTHS</t>
  </si>
  <si>
    <t>Trade &amp; Other receivables</t>
  </si>
  <si>
    <t>1. Loan interest is assumed to be 12.5% compounded monthly</t>
  </si>
  <si>
    <t>Bank overdraft</t>
  </si>
  <si>
    <t>Grand-TOTAL</t>
  </si>
  <si>
    <t>Total</t>
  </si>
  <si>
    <t>Books</t>
  </si>
  <si>
    <t>Film</t>
  </si>
  <si>
    <t>Puzzle</t>
  </si>
  <si>
    <t>Boardgame</t>
  </si>
  <si>
    <t>Other material</t>
  </si>
  <si>
    <t>Other Non-Current Assets</t>
  </si>
  <si>
    <t>Other non-current assets</t>
  </si>
  <si>
    <t>LOAN IS R2 000 000</t>
  </si>
  <si>
    <t>Property Plant &amp; Equipment</t>
  </si>
  <si>
    <t>Financial Assets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</si>
</sst>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[$R-1C09]\ #,##0.00;[Red][$R-1C09]\ #,##0.00"/>
    <numFmt numFmtId="165" formatCode="\P#,##0.00_);[Red]\(\P#,##0.00\)"/>
    <numFmt numFmtId="166" formatCode="[$P-832]\ #,##0.00;[Red][$P-832]\ #,##0.00"/>
    <numFmt numFmtId="167" formatCode="[$P]\ #,##0.00"/>
    <numFmt numFmtId="168" formatCode="[$P]\ #,##0.00_);\([$P]\ #,##0.00\)"/>
  </numFmts>
  <fonts count="2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33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0" xfId="0" applyFont="1" applyBorder="1"/>
    <xf numFmtId="0" fontId="1" fillId="0" borderId="0" xfId="0" applyFont="1" applyBorder="1"/>
    <xf numFmtId="0" fontId="11" fillId="0" borderId="0" xfId="0" applyFont="1" applyBorder="1"/>
    <xf numFmtId="0" fontId="12" fillId="0" borderId="0" xfId="0" applyFont="1" applyFill="1" applyBorder="1"/>
    <xf numFmtId="38" fontId="10" fillId="0" borderId="0" xfId="0" applyNumberFormat="1" applyFont="1"/>
    <xf numFmtId="0" fontId="10" fillId="0" borderId="0" xfId="0" applyFont="1"/>
    <xf numFmtId="38" fontId="7" fillId="0" borderId="0" xfId="0" applyNumberFormat="1" applyFont="1"/>
    <xf numFmtId="0" fontId="9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Border="1" applyAlignment="1">
      <alignment horizont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38" fontId="9" fillId="0" borderId="0" xfId="0" applyNumberFormat="1" applyFont="1"/>
    <xf numFmtId="38" fontId="14" fillId="0" borderId="0" xfId="0" applyNumberFormat="1" applyFont="1" applyAlignment="1">
      <alignment horizontal="center"/>
    </xf>
    <xf numFmtId="38" fontId="14" fillId="0" borderId="0" xfId="0" applyNumberFormat="1" applyFont="1"/>
    <xf numFmtId="38" fontId="14" fillId="0" borderId="0" xfId="0" applyNumberFormat="1" applyFont="1" applyAlignment="1">
      <alignment horizontal="left"/>
    </xf>
    <xf numFmtId="38" fontId="15" fillId="0" borderId="0" xfId="0" applyNumberFormat="1" applyFont="1"/>
    <xf numFmtId="0" fontId="18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16" fillId="0" borderId="0" xfId="0" applyFont="1"/>
    <xf numFmtId="0" fontId="17" fillId="0" borderId="0" xfId="0" applyFont="1"/>
    <xf numFmtId="0" fontId="16" fillId="0" borderId="5" xfId="0" applyFont="1" applyBorder="1"/>
    <xf numFmtId="0" fontId="16" fillId="0" borderId="6" xfId="0" applyFont="1" applyBorder="1"/>
    <xf numFmtId="0" fontId="16" fillId="0" borderId="7" xfId="0" applyFont="1" applyBorder="1"/>
    <xf numFmtId="0" fontId="1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20" fillId="0" borderId="0" xfId="0" applyFont="1"/>
    <xf numFmtId="0" fontId="21" fillId="0" borderId="0" xfId="0" applyFont="1"/>
    <xf numFmtId="0" fontId="20" fillId="0" borderId="20" xfId="0" applyFont="1" applyBorder="1"/>
    <xf numFmtId="0" fontId="21" fillId="0" borderId="0" xfId="0" applyFont="1" applyAlignment="1">
      <alignment wrapText="1"/>
    </xf>
    <xf numFmtId="0" fontId="22" fillId="0" borderId="19" xfId="0" applyFont="1" applyBorder="1" applyAlignment="1">
      <alignment vertical="top" wrapText="1"/>
    </xf>
    <xf numFmtId="0" fontId="22" fillId="0" borderId="6" xfId="0" applyFont="1" applyBorder="1" applyAlignment="1">
      <alignment vertical="top" wrapText="1"/>
    </xf>
    <xf numFmtId="0" fontId="22" fillId="0" borderId="7" xfId="0" applyFont="1" applyBorder="1" applyAlignment="1">
      <alignment vertical="top" wrapText="1"/>
    </xf>
    <xf numFmtId="0" fontId="22" fillId="0" borderId="0" xfId="0" applyFont="1" applyBorder="1" applyAlignment="1">
      <alignment vertical="top"/>
    </xf>
    <xf numFmtId="0" fontId="23" fillId="0" borderId="0" xfId="0" applyFont="1" applyBorder="1" applyAlignment="1">
      <alignment vertical="top"/>
    </xf>
    <xf numFmtId="0" fontId="23" fillId="0" borderId="0" xfId="0" applyFont="1" applyBorder="1" applyAlignment="1">
      <alignment vertical="top" wrapText="1"/>
    </xf>
    <xf numFmtId="0" fontId="24" fillId="0" borderId="0" xfId="0" applyFont="1" applyBorder="1" applyAlignment="1">
      <alignment vertical="top" wrapText="1"/>
    </xf>
    <xf numFmtId="0" fontId="22" fillId="0" borderId="0" xfId="0" applyFont="1" applyBorder="1" applyAlignment="1">
      <alignment vertical="top" wrapText="1"/>
    </xf>
    <xf numFmtId="164" fontId="7" fillId="0" borderId="0" xfId="0" applyNumberFormat="1" applyFont="1"/>
    <xf numFmtId="0" fontId="13" fillId="0" borderId="0" xfId="0" applyFont="1" applyBorder="1"/>
    <xf numFmtId="0" fontId="13" fillId="0" borderId="0" xfId="0" applyFont="1" applyFill="1" applyBorder="1" applyAlignment="1">
      <alignment horizontal="center"/>
    </xf>
    <xf numFmtId="0" fontId="12" fillId="0" borderId="0" xfId="0" applyFont="1" applyBorder="1"/>
    <xf numFmtId="38" fontId="13" fillId="0" borderId="0" xfId="0" applyNumberFormat="1" applyFont="1"/>
    <xf numFmtId="165" fontId="23" fillId="0" borderId="0" xfId="0" applyNumberFormat="1" applyFont="1" applyBorder="1" applyAlignment="1">
      <alignment vertical="top"/>
    </xf>
    <xf numFmtId="165" fontId="21" fillId="0" borderId="0" xfId="0" applyNumberFormat="1" applyFont="1" applyBorder="1"/>
    <xf numFmtId="165" fontId="23" fillId="0" borderId="2" xfId="0" applyNumberFormat="1" applyFont="1" applyBorder="1" applyAlignment="1">
      <alignment vertical="top"/>
    </xf>
    <xf numFmtId="165" fontId="23" fillId="0" borderId="8" xfId="0" applyNumberFormat="1" applyFont="1" applyBorder="1" applyAlignment="1">
      <alignment vertical="top"/>
    </xf>
    <xf numFmtId="165" fontId="21" fillId="0" borderId="0" xfId="0" applyNumberFormat="1" applyFont="1"/>
    <xf numFmtId="165" fontId="23" fillId="0" borderId="17" xfId="0" applyNumberFormat="1" applyFont="1" applyBorder="1" applyAlignment="1">
      <alignment vertical="top"/>
    </xf>
    <xf numFmtId="165" fontId="23" fillId="0" borderId="20" xfId="0" applyNumberFormat="1" applyFont="1" applyBorder="1" applyAlignment="1">
      <alignment vertical="top"/>
    </xf>
    <xf numFmtId="165" fontId="24" fillId="0" borderId="0" xfId="0" applyNumberFormat="1" applyFont="1" applyBorder="1" applyAlignment="1">
      <alignment vertical="top"/>
    </xf>
    <xf numFmtId="165" fontId="25" fillId="0" borderId="0" xfId="0" applyNumberFormat="1" applyFont="1"/>
    <xf numFmtId="165" fontId="24" fillId="0" borderId="20" xfId="0" applyNumberFormat="1" applyFont="1" applyBorder="1" applyAlignment="1">
      <alignment vertical="top"/>
    </xf>
    <xf numFmtId="165" fontId="25" fillId="0" borderId="0" xfId="0" applyNumberFormat="1" applyFont="1" applyBorder="1"/>
    <xf numFmtId="165" fontId="26" fillId="0" borderId="3" xfId="0" applyNumberFormat="1" applyFont="1" applyBorder="1" applyAlignment="1">
      <alignment vertical="top"/>
    </xf>
    <xf numFmtId="165" fontId="23" fillId="0" borderId="3" xfId="0" applyNumberFormat="1" applyFont="1" applyBorder="1" applyAlignment="1">
      <alignment vertical="top"/>
    </xf>
    <xf numFmtId="165" fontId="27" fillId="0" borderId="17" xfId="1" applyNumberFormat="1" applyFont="1" applyBorder="1" applyAlignment="1">
      <alignment vertical="center" wrapText="1"/>
    </xf>
    <xf numFmtId="165" fontId="23" fillId="0" borderId="19" xfId="0" applyNumberFormat="1" applyFont="1" applyBorder="1" applyAlignment="1">
      <alignment vertical="top"/>
    </xf>
    <xf numFmtId="165" fontId="22" fillId="0" borderId="21" xfId="0" applyNumberFormat="1" applyFont="1" applyBorder="1" applyAlignment="1">
      <alignment vertical="top"/>
    </xf>
    <xf numFmtId="165" fontId="23" fillId="0" borderId="10" xfId="0" applyNumberFormat="1" applyFont="1" applyBorder="1" applyAlignment="1">
      <alignment vertical="top"/>
    </xf>
    <xf numFmtId="165" fontId="23" fillId="0" borderId="9" xfId="0" applyNumberFormat="1" applyFont="1" applyBorder="1" applyAlignment="1">
      <alignment vertical="top"/>
    </xf>
    <xf numFmtId="165" fontId="23" fillId="0" borderId="18" xfId="0" applyNumberFormat="1" applyFont="1" applyBorder="1" applyAlignment="1">
      <alignment vertical="top"/>
    </xf>
    <xf numFmtId="165" fontId="16" fillId="0" borderId="0" xfId="0" applyNumberFormat="1" applyFont="1" applyBorder="1"/>
    <xf numFmtId="165" fontId="17" fillId="0" borderId="0" xfId="0" applyNumberFormat="1" applyFont="1"/>
    <xf numFmtId="165" fontId="7" fillId="0" borderId="0" xfId="0" applyNumberFormat="1" applyFont="1"/>
    <xf numFmtId="165" fontId="17" fillId="0" borderId="0" xfId="0" applyNumberFormat="1" applyFont="1" applyBorder="1"/>
    <xf numFmtId="165" fontId="17" fillId="0" borderId="9" xfId="0" applyNumberFormat="1" applyFont="1" applyBorder="1"/>
    <xf numFmtId="165" fontId="17" fillId="0" borderId="20" xfId="0" applyNumberFormat="1" applyFont="1" applyBorder="1"/>
    <xf numFmtId="165" fontId="17" fillId="0" borderId="0" xfId="0" applyNumberFormat="1" applyFont="1" applyFill="1" applyBorder="1"/>
    <xf numFmtId="165" fontId="17" fillId="0" borderId="10" xfId="0" applyNumberFormat="1" applyFont="1" applyBorder="1"/>
    <xf numFmtId="165" fontId="17" fillId="0" borderId="8" xfId="0" applyNumberFormat="1" applyFont="1" applyBorder="1"/>
    <xf numFmtId="165" fontId="17" fillId="0" borderId="3" xfId="0" applyNumberFormat="1" applyFont="1" applyBorder="1"/>
    <xf numFmtId="165" fontId="17" fillId="0" borderId="4" xfId="0" applyNumberFormat="1" applyFont="1" applyBorder="1"/>
    <xf numFmtId="165" fontId="17" fillId="0" borderId="19" xfId="0" applyNumberFormat="1" applyFont="1" applyBorder="1"/>
    <xf numFmtId="165" fontId="17" fillId="0" borderId="18" xfId="0" applyNumberFormat="1" applyFont="1" applyBorder="1"/>
    <xf numFmtId="165" fontId="16" fillId="0" borderId="1" xfId="0" applyNumberFormat="1" applyFont="1" applyBorder="1"/>
    <xf numFmtId="165" fontId="16" fillId="0" borderId="21" xfId="0" applyNumberFormat="1" applyFont="1" applyBorder="1"/>
    <xf numFmtId="165" fontId="13" fillId="0" borderId="0" xfId="0" applyNumberFormat="1" applyFont="1" applyBorder="1" applyAlignment="1">
      <alignment horizontal="center"/>
    </xf>
    <xf numFmtId="165" fontId="13" fillId="0" borderId="0" xfId="0" applyNumberFormat="1" applyFont="1" applyFill="1" applyBorder="1" applyAlignment="1">
      <alignment horizontal="center"/>
    </xf>
    <xf numFmtId="165" fontId="9" fillId="0" borderId="0" xfId="0" applyNumberFormat="1" applyFont="1"/>
    <xf numFmtId="165" fontId="9" fillId="0" borderId="0" xfId="0" applyNumberFormat="1" applyFont="1" applyBorder="1"/>
    <xf numFmtId="165" fontId="12" fillId="0" borderId="15" xfId="0" applyNumberFormat="1" applyFont="1" applyBorder="1"/>
    <xf numFmtId="165" fontId="13" fillId="0" borderId="0" xfId="0" applyNumberFormat="1" applyFont="1" applyBorder="1"/>
    <xf numFmtId="165" fontId="13" fillId="0" borderId="1" xfId="0" applyNumberFormat="1" applyFont="1" applyBorder="1"/>
    <xf numFmtId="165" fontId="9" fillId="0" borderId="11" xfId="0" applyNumberFormat="1" applyFont="1" applyBorder="1"/>
    <xf numFmtId="165" fontId="11" fillId="0" borderId="2" xfId="1" applyNumberFormat="1" applyFont="1" applyBorder="1" applyAlignment="1">
      <alignment vertical="center" wrapText="1"/>
    </xf>
    <xf numFmtId="165" fontId="9" fillId="0" borderId="2" xfId="0" applyNumberFormat="1" applyFont="1" applyBorder="1"/>
    <xf numFmtId="165" fontId="9" fillId="0" borderId="8" xfId="0" applyNumberFormat="1" applyFont="1" applyBorder="1"/>
    <xf numFmtId="165" fontId="11" fillId="0" borderId="17" xfId="1" applyNumberFormat="1" applyFont="1" applyBorder="1" applyAlignment="1">
      <alignment vertical="center" wrapText="1"/>
    </xf>
    <xf numFmtId="165" fontId="9" fillId="0" borderId="17" xfId="0" applyNumberFormat="1" applyFont="1" applyBorder="1"/>
    <xf numFmtId="165" fontId="9" fillId="0" borderId="4" xfId="0" applyNumberFormat="1" applyFont="1" applyBorder="1"/>
    <xf numFmtId="165" fontId="11" fillId="0" borderId="4" xfId="1" applyNumberFormat="1" applyFont="1" applyBorder="1" applyAlignment="1">
      <alignment vertical="center" wrapText="1"/>
    </xf>
    <xf numFmtId="165" fontId="9" fillId="0" borderId="16" xfId="1" applyNumberFormat="1" applyFont="1" applyBorder="1" applyAlignment="1">
      <alignment vertical="center" wrapText="1"/>
    </xf>
    <xf numFmtId="165" fontId="9" fillId="0" borderId="18" xfId="0" applyNumberFormat="1" applyFont="1" applyBorder="1"/>
    <xf numFmtId="165" fontId="0" fillId="0" borderId="0" xfId="0" applyNumberFormat="1"/>
    <xf numFmtId="165" fontId="14" fillId="0" borderId="0" xfId="0" applyNumberFormat="1" applyFont="1"/>
    <xf numFmtId="165" fontId="14" fillId="0" borderId="0" xfId="0" applyNumberFormat="1" applyFont="1" applyBorder="1"/>
    <xf numFmtId="165" fontId="9" fillId="0" borderId="13" xfId="0" applyNumberFormat="1" applyFont="1" applyBorder="1"/>
    <xf numFmtId="165" fontId="9" fillId="0" borderId="12" xfId="0" applyNumberFormat="1" applyFont="1" applyBorder="1"/>
    <xf numFmtId="165" fontId="9" fillId="0" borderId="14" xfId="0" applyNumberFormat="1" applyFont="1" applyBorder="1"/>
    <xf numFmtId="165" fontId="14" fillId="0" borderId="1" xfId="0" applyNumberFormat="1" applyFont="1" applyBorder="1"/>
    <xf numFmtId="165" fontId="13" fillId="0" borderId="0" xfId="0" applyNumberFormat="1" applyFont="1"/>
    <xf numFmtId="0" fontId="23" fillId="0" borderId="0" xfId="0" applyFont="1" applyAlignment="1">
      <alignment vertical="center" wrapText="1"/>
    </xf>
    <xf numFmtId="0" fontId="23" fillId="0" borderId="0" xfId="0" applyFont="1" applyAlignment="1">
      <alignment vertical="top" wrapText="1"/>
    </xf>
    <xf numFmtId="166" fontId="9" fillId="0" borderId="0" xfId="0" applyNumberFormat="1" applyFont="1"/>
    <xf numFmtId="166" fontId="11" fillId="0" borderId="0" xfId="0" applyNumberFormat="1" applyFont="1"/>
    <xf numFmtId="167" fontId="0" fillId="0" borderId="0" xfId="0" applyNumberFormat="1"/>
    <xf numFmtId="167" fontId="3" fillId="0" borderId="0" xfId="0" applyNumberFormat="1" applyFont="1"/>
    <xf numFmtId="0" fontId="9" fillId="0" borderId="0" xfId="0" applyFont="1" applyAlignment="1">
      <alignment vertical="center" wrapText="1"/>
    </xf>
    <xf numFmtId="165" fontId="23" fillId="0" borderId="16" xfId="0" applyNumberFormat="1" applyFont="1" applyBorder="1" applyAlignment="1">
      <alignment vertical="top"/>
    </xf>
    <xf numFmtId="165" fontId="17" fillId="0" borderId="4" xfId="0" applyNumberFormat="1" applyFont="1" applyFill="1" applyBorder="1"/>
    <xf numFmtId="168" fontId="17" fillId="0" borderId="0" xfId="0" applyNumberFormat="1" applyFont="1" applyBorder="1"/>
    <xf numFmtId="168" fontId="17" fillId="0" borderId="4" xfId="0" applyNumberFormat="1" applyFont="1" applyBorder="1"/>
    <xf numFmtId="165" fontId="17" fillId="0" borderId="20" xfId="0" applyNumberFormat="1" applyFont="1" applyFill="1" applyBorder="1"/>
    <xf numFmtId="165" fontId="9" fillId="0" borderId="22" xfId="0" applyNumberFormat="1" applyFont="1" applyBorder="1"/>
    <xf numFmtId="165" fontId="9" fillId="0" borderId="23" xfId="0" applyNumberFormat="1" applyFont="1" applyBorder="1"/>
    <xf numFmtId="165" fontId="9" fillId="0" borderId="24" xfId="0" applyNumberFormat="1" applyFont="1" applyBorder="1"/>
    <xf numFmtId="165" fontId="9" fillId="0" borderId="25" xfId="0" applyNumberFormat="1" applyFont="1" applyBorder="1"/>
    <xf numFmtId="165" fontId="9" fillId="0" borderId="26" xfId="0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0"/>
  <sheetViews>
    <sheetView zoomScale="223" workbookViewId="0">
      <selection activeCell="B28" sqref="B28"/>
    </sheetView>
  </sheetViews>
  <sheetFormatPr baseColWidth="10" defaultColWidth="8.83203125" defaultRowHeight="15" x14ac:dyDescent="0.2"/>
  <cols>
    <col min="1" max="1" width="18" customWidth="1"/>
    <col min="2" max="2" width="11.1640625" customWidth="1"/>
    <col min="3" max="3" width="11.83203125" customWidth="1"/>
    <col min="4" max="5" width="10.6640625" customWidth="1"/>
    <col min="6" max="6" width="11.1640625" customWidth="1"/>
    <col min="7" max="7" width="11.83203125" customWidth="1"/>
    <col min="8" max="8" width="11.5" customWidth="1"/>
    <col min="9" max="9" width="11.1640625" customWidth="1"/>
    <col min="10" max="10" width="11.5" customWidth="1"/>
    <col min="11" max="11" width="10.83203125" customWidth="1"/>
    <col min="12" max="12" width="11.1640625" customWidth="1"/>
    <col min="13" max="13" width="11" customWidth="1"/>
    <col min="14" max="14" width="12.1640625" customWidth="1"/>
    <col min="15" max="15" width="1.83203125" customWidth="1"/>
  </cols>
  <sheetData>
    <row r="1" spans="1:24" s="5" customFormat="1" ht="19" x14ac:dyDescent="0.25">
      <c r="A1" s="40" t="s">
        <v>109</v>
      </c>
      <c r="B1" s="40"/>
      <c r="C1" s="40"/>
      <c r="D1" s="40"/>
      <c r="E1" s="40"/>
      <c r="F1" s="40"/>
      <c r="G1" s="41"/>
      <c r="H1" s="41"/>
      <c r="I1" s="41"/>
      <c r="J1" s="41"/>
      <c r="K1" s="41"/>
      <c r="L1" s="41"/>
      <c r="M1" s="41"/>
      <c r="N1" s="41"/>
      <c r="O1" s="41"/>
    </row>
    <row r="2" spans="1:24" s="1" customFormat="1" ht="9" customHeight="1" thickBot="1" x14ac:dyDescent="0.25">
      <c r="A2" s="42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0"/>
    </row>
    <row r="3" spans="1:24" s="4" customFormat="1" ht="17" customHeight="1" thickBot="1" x14ac:dyDescent="0.25">
      <c r="A3" s="44" t="s">
        <v>7</v>
      </c>
      <c r="B3" s="45" t="s">
        <v>28</v>
      </c>
      <c r="C3" s="45" t="s">
        <v>29</v>
      </c>
      <c r="D3" s="45" t="s">
        <v>30</v>
      </c>
      <c r="E3" s="45" t="s">
        <v>31</v>
      </c>
      <c r="F3" s="45" t="s">
        <v>32</v>
      </c>
      <c r="G3" s="45" t="s">
        <v>20</v>
      </c>
      <c r="H3" s="45" t="s">
        <v>21</v>
      </c>
      <c r="I3" s="45" t="s">
        <v>22</v>
      </c>
      <c r="J3" s="45" t="s">
        <v>23</v>
      </c>
      <c r="K3" s="45" t="s">
        <v>24</v>
      </c>
      <c r="L3" s="45" t="s">
        <v>25</v>
      </c>
      <c r="M3" s="45" t="s">
        <v>26</v>
      </c>
      <c r="N3" s="46" t="s">
        <v>0</v>
      </c>
      <c r="O3" s="43"/>
      <c r="P3" s="30"/>
      <c r="Q3" s="30"/>
      <c r="R3" s="30"/>
      <c r="S3" s="30"/>
      <c r="T3" s="30"/>
      <c r="U3" s="30"/>
      <c r="V3" s="30"/>
      <c r="W3" s="30"/>
      <c r="X3" s="30"/>
    </row>
    <row r="4" spans="1:24" ht="13" customHeight="1" x14ac:dyDescent="0.2">
      <c r="A4" s="47" t="s">
        <v>1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1"/>
      <c r="P4" s="31"/>
      <c r="Q4" s="31"/>
      <c r="R4" s="31"/>
      <c r="S4" s="31"/>
      <c r="T4" s="31"/>
      <c r="U4" s="31"/>
      <c r="V4" s="31"/>
      <c r="W4" s="31"/>
      <c r="X4" s="31"/>
    </row>
    <row r="5" spans="1:24" ht="11" customHeight="1" x14ac:dyDescent="0.2">
      <c r="A5" s="49" t="s">
        <v>40</v>
      </c>
      <c r="B5" s="57">
        <v>262500</v>
      </c>
      <c r="C5" s="57">
        <v>262500</v>
      </c>
      <c r="D5" s="57">
        <v>262500</v>
      </c>
      <c r="E5" s="57">
        <v>262500</v>
      </c>
      <c r="F5" s="57">
        <v>262500</v>
      </c>
      <c r="G5" s="57">
        <v>262500</v>
      </c>
      <c r="H5" s="57">
        <v>262500</v>
      </c>
      <c r="I5" s="57">
        <v>262500</v>
      </c>
      <c r="J5" s="57">
        <v>262500</v>
      </c>
      <c r="K5" s="57">
        <v>262500</v>
      </c>
      <c r="L5" s="57">
        <v>262500</v>
      </c>
      <c r="M5" s="57">
        <v>262500</v>
      </c>
      <c r="N5" s="57">
        <f>SUM(B5:M5)</f>
        <v>3150000</v>
      </c>
      <c r="O5" s="58"/>
      <c r="P5" s="31"/>
      <c r="Q5" s="31"/>
      <c r="R5" s="31"/>
      <c r="S5" s="31"/>
      <c r="T5" s="31"/>
      <c r="U5" s="31"/>
      <c r="V5" s="31"/>
      <c r="W5" s="31"/>
      <c r="X5" s="31"/>
    </row>
    <row r="6" spans="1:24" ht="12" customHeight="1" x14ac:dyDescent="0.2">
      <c r="A6" s="49" t="s">
        <v>33</v>
      </c>
      <c r="B6" s="57">
        <v>60000</v>
      </c>
      <c r="C6" s="57">
        <v>0</v>
      </c>
      <c r="D6" s="57">
        <v>0</v>
      </c>
      <c r="E6" s="57">
        <v>0</v>
      </c>
      <c r="F6" s="57">
        <v>0</v>
      </c>
      <c r="G6" s="57">
        <v>0</v>
      </c>
      <c r="H6" s="57">
        <v>0</v>
      </c>
      <c r="I6" s="57">
        <v>0</v>
      </c>
      <c r="J6" s="57">
        <v>0</v>
      </c>
      <c r="K6" s="57">
        <v>0</v>
      </c>
      <c r="L6" s="57">
        <v>0</v>
      </c>
      <c r="M6" s="57">
        <v>0</v>
      </c>
      <c r="N6" s="57">
        <f>M6+L6+K6+J6+I6+H6+G6+F6+E6+D6+C6+B6</f>
        <v>60000</v>
      </c>
      <c r="O6" s="58"/>
      <c r="P6" s="31"/>
      <c r="Q6" s="31"/>
      <c r="R6" s="31"/>
      <c r="S6" s="31"/>
      <c r="T6" s="31"/>
      <c r="U6" s="31"/>
      <c r="V6" s="31"/>
      <c r="W6" s="31"/>
      <c r="X6" s="31"/>
    </row>
    <row r="7" spans="1:24" ht="14" customHeight="1" thickBot="1" x14ac:dyDescent="0.25">
      <c r="A7" s="49" t="s">
        <v>34</v>
      </c>
      <c r="B7" s="63">
        <v>2000000</v>
      </c>
      <c r="C7" s="63">
        <v>0</v>
      </c>
      <c r="D7" s="63">
        <v>0</v>
      </c>
      <c r="E7" s="63">
        <v>0</v>
      </c>
      <c r="F7" s="63">
        <v>0</v>
      </c>
      <c r="G7" s="63">
        <v>0</v>
      </c>
      <c r="H7" s="63">
        <v>0</v>
      </c>
      <c r="I7" s="63">
        <v>0</v>
      </c>
      <c r="J7" s="63">
        <v>0</v>
      </c>
      <c r="K7" s="63">
        <v>0</v>
      </c>
      <c r="L7" s="63">
        <v>0</v>
      </c>
      <c r="M7" s="63">
        <v>0</v>
      </c>
      <c r="N7" s="63">
        <f>M7+L7+K7+J7+I7+H7+G7+F7+E7+D7+C7+B7</f>
        <v>2000000</v>
      </c>
      <c r="O7" s="58"/>
      <c r="P7" s="31"/>
      <c r="Q7" s="31"/>
      <c r="R7" s="31"/>
      <c r="S7" s="31"/>
      <c r="T7" s="31"/>
      <c r="U7" s="31"/>
      <c r="V7" s="31"/>
      <c r="W7" s="31"/>
      <c r="X7" s="31"/>
    </row>
    <row r="8" spans="1:24" s="6" customFormat="1" ht="12" customHeight="1" x14ac:dyDescent="0.2">
      <c r="A8" s="50" t="s">
        <v>13</v>
      </c>
      <c r="B8" s="64">
        <f>B5+B6+B7</f>
        <v>2322500</v>
      </c>
      <c r="C8" s="64">
        <f>C5+C6+C7</f>
        <v>262500</v>
      </c>
      <c r="D8" s="64">
        <f t="shared" ref="D8:M8" si="0">D5+D6+D7</f>
        <v>262500</v>
      </c>
      <c r="E8" s="64">
        <f t="shared" si="0"/>
        <v>262500</v>
      </c>
      <c r="F8" s="64">
        <f t="shared" si="0"/>
        <v>262500</v>
      </c>
      <c r="G8" s="64">
        <f t="shared" si="0"/>
        <v>262500</v>
      </c>
      <c r="H8" s="64">
        <f t="shared" si="0"/>
        <v>262500</v>
      </c>
      <c r="I8" s="64">
        <f t="shared" si="0"/>
        <v>262500</v>
      </c>
      <c r="J8" s="64">
        <f t="shared" si="0"/>
        <v>262500</v>
      </c>
      <c r="K8" s="64">
        <f t="shared" si="0"/>
        <v>262500</v>
      </c>
      <c r="L8" s="64">
        <f t="shared" si="0"/>
        <v>262500</v>
      </c>
      <c r="M8" s="64">
        <f t="shared" si="0"/>
        <v>262500</v>
      </c>
      <c r="N8" s="64">
        <f>N5+N6+N7</f>
        <v>5210000</v>
      </c>
      <c r="O8" s="65"/>
      <c r="P8" s="32"/>
      <c r="Q8" s="32"/>
      <c r="R8" s="32"/>
      <c r="S8" s="32"/>
      <c r="T8" s="32"/>
      <c r="U8" s="32"/>
      <c r="V8" s="32"/>
      <c r="W8" s="32"/>
      <c r="X8" s="32"/>
    </row>
    <row r="9" spans="1:24" s="6" customFormat="1" ht="14" customHeight="1" thickBot="1" x14ac:dyDescent="0.25">
      <c r="A9" s="50" t="s">
        <v>2</v>
      </c>
      <c r="B9" s="66">
        <f t="shared" ref="B9:N9" si="1">SUM(B10:B30)</f>
        <v>1234275</v>
      </c>
      <c r="C9" s="66">
        <f t="shared" si="1"/>
        <v>338775</v>
      </c>
      <c r="D9" s="66">
        <f t="shared" si="1"/>
        <v>345776</v>
      </c>
      <c r="E9" s="66">
        <f t="shared" si="1"/>
        <v>338775</v>
      </c>
      <c r="F9" s="66">
        <f t="shared" si="1"/>
        <v>339275</v>
      </c>
      <c r="G9" s="66">
        <f t="shared" si="1"/>
        <v>345775</v>
      </c>
      <c r="H9" s="66">
        <f t="shared" si="1"/>
        <v>388775</v>
      </c>
      <c r="I9" s="66">
        <f t="shared" si="1"/>
        <v>338775</v>
      </c>
      <c r="J9" s="66">
        <f t="shared" si="1"/>
        <v>346276</v>
      </c>
      <c r="K9" s="66">
        <f t="shared" si="1"/>
        <v>338775</v>
      </c>
      <c r="L9" s="66">
        <f t="shared" si="1"/>
        <v>338776</v>
      </c>
      <c r="M9" s="66">
        <f t="shared" si="1"/>
        <v>345775</v>
      </c>
      <c r="N9" s="66">
        <f t="shared" si="1"/>
        <v>5039803</v>
      </c>
      <c r="O9" s="67"/>
      <c r="P9" s="32"/>
      <c r="Q9" s="32"/>
      <c r="R9" s="32"/>
      <c r="S9" s="32"/>
      <c r="T9" s="32"/>
      <c r="U9" s="32"/>
      <c r="V9" s="32"/>
      <c r="W9" s="32"/>
      <c r="X9" s="32"/>
    </row>
    <row r="10" spans="1:24" s="6" customFormat="1" ht="12" customHeight="1" x14ac:dyDescent="0.2">
      <c r="A10" s="49" t="s">
        <v>70</v>
      </c>
      <c r="B10" s="68">
        <f t="shared" ref="B10:M10" si="2">ROUND(19%*B5,0)</f>
        <v>49875</v>
      </c>
      <c r="C10" s="68">
        <f t="shared" si="2"/>
        <v>49875</v>
      </c>
      <c r="D10" s="68">
        <f t="shared" si="2"/>
        <v>49875</v>
      </c>
      <c r="E10" s="68">
        <f t="shared" si="2"/>
        <v>49875</v>
      </c>
      <c r="F10" s="68">
        <f t="shared" si="2"/>
        <v>49875</v>
      </c>
      <c r="G10" s="68">
        <f t="shared" si="2"/>
        <v>49875</v>
      </c>
      <c r="H10" s="68">
        <f t="shared" si="2"/>
        <v>49875</v>
      </c>
      <c r="I10" s="68">
        <f t="shared" si="2"/>
        <v>49875</v>
      </c>
      <c r="J10" s="68">
        <f t="shared" si="2"/>
        <v>49875</v>
      </c>
      <c r="K10" s="68">
        <f t="shared" si="2"/>
        <v>49875</v>
      </c>
      <c r="L10" s="68">
        <f t="shared" si="2"/>
        <v>49875</v>
      </c>
      <c r="M10" s="68">
        <f t="shared" si="2"/>
        <v>49875</v>
      </c>
      <c r="N10" s="59">
        <f>SUM(B10:M10)</f>
        <v>598500</v>
      </c>
      <c r="O10" s="65"/>
      <c r="P10" s="32"/>
      <c r="Q10" s="32"/>
      <c r="R10" s="32"/>
      <c r="S10" s="32"/>
      <c r="T10" s="32"/>
      <c r="U10" s="32"/>
      <c r="V10" s="32"/>
      <c r="W10" s="32"/>
      <c r="X10" s="32"/>
    </row>
    <row r="11" spans="1:24" ht="13" customHeight="1" x14ac:dyDescent="0.2">
      <c r="A11" s="117" t="s">
        <v>41</v>
      </c>
      <c r="B11" s="69">
        <v>1200</v>
      </c>
      <c r="C11" s="62">
        <v>1200</v>
      </c>
      <c r="D11" s="57">
        <v>1200</v>
      </c>
      <c r="E11" s="62">
        <v>1200</v>
      </c>
      <c r="F11" s="57">
        <v>1200</v>
      </c>
      <c r="G11" s="62">
        <v>1200</v>
      </c>
      <c r="H11" s="57">
        <v>1200</v>
      </c>
      <c r="I11" s="62">
        <v>1200</v>
      </c>
      <c r="J11" s="57">
        <v>1200</v>
      </c>
      <c r="K11" s="62">
        <v>1200</v>
      </c>
      <c r="L11" s="57">
        <v>1200</v>
      </c>
      <c r="M11" s="69">
        <v>1200</v>
      </c>
      <c r="N11" s="62">
        <f>SUM(B11:M11)</f>
        <v>14400</v>
      </c>
      <c r="O11" s="61"/>
      <c r="P11" s="31"/>
      <c r="Q11" s="31"/>
      <c r="R11" s="31"/>
      <c r="S11" s="31"/>
      <c r="T11" s="31"/>
      <c r="U11" s="31"/>
      <c r="V11" s="31"/>
      <c r="W11" s="31"/>
      <c r="X11" s="31"/>
    </row>
    <row r="12" spans="1:24" ht="14" customHeight="1" x14ac:dyDescent="0.2">
      <c r="A12" s="49" t="s">
        <v>58</v>
      </c>
      <c r="B12" s="69">
        <v>15000</v>
      </c>
      <c r="C12" s="69">
        <v>15000</v>
      </c>
      <c r="D12" s="69">
        <v>15000</v>
      </c>
      <c r="E12" s="69">
        <v>15000</v>
      </c>
      <c r="F12" s="69">
        <v>15000</v>
      </c>
      <c r="G12" s="69">
        <v>15000</v>
      </c>
      <c r="H12" s="69">
        <v>15000</v>
      </c>
      <c r="I12" s="69">
        <v>15000</v>
      </c>
      <c r="J12" s="69">
        <v>15000</v>
      </c>
      <c r="K12" s="69">
        <v>15000</v>
      </c>
      <c r="L12" s="69">
        <v>15000</v>
      </c>
      <c r="M12" s="69">
        <v>15000</v>
      </c>
      <c r="N12" s="62">
        <f t="shared" ref="N12:N30" si="3">SUM(B12:M12)</f>
        <v>180000</v>
      </c>
      <c r="O12" s="61"/>
      <c r="P12" s="31"/>
      <c r="Q12" s="31"/>
      <c r="R12" s="31"/>
      <c r="S12" s="31"/>
      <c r="T12" s="31"/>
      <c r="U12" s="31"/>
      <c r="V12" s="31"/>
      <c r="W12" s="31"/>
      <c r="X12" s="31"/>
    </row>
    <row r="13" spans="1:24" ht="14" customHeight="1" x14ac:dyDescent="0.2">
      <c r="A13" s="49" t="s">
        <v>54</v>
      </c>
      <c r="B13" s="69">
        <v>3000</v>
      </c>
      <c r="C13" s="62">
        <v>6000</v>
      </c>
      <c r="D13" s="57">
        <v>6000</v>
      </c>
      <c r="E13" s="62">
        <v>6000</v>
      </c>
      <c r="F13" s="57">
        <v>6000</v>
      </c>
      <c r="G13" s="62">
        <v>6000</v>
      </c>
      <c r="H13" s="57">
        <v>6000</v>
      </c>
      <c r="I13" s="62">
        <v>6000</v>
      </c>
      <c r="J13" s="57">
        <v>6000</v>
      </c>
      <c r="K13" s="62">
        <v>6000</v>
      </c>
      <c r="L13" s="57">
        <v>6000</v>
      </c>
      <c r="M13" s="69">
        <v>6000</v>
      </c>
      <c r="N13" s="62">
        <f>SUM(B13:M13)</f>
        <v>69000</v>
      </c>
      <c r="O13" s="61"/>
      <c r="P13" s="31"/>
      <c r="Q13" s="31"/>
      <c r="R13" s="31"/>
      <c r="S13" s="31"/>
      <c r="T13" s="31"/>
      <c r="U13" s="31"/>
      <c r="V13" s="31"/>
      <c r="W13" s="31"/>
      <c r="X13" s="31"/>
    </row>
    <row r="14" spans="1:24" ht="12" customHeight="1" x14ac:dyDescent="0.2">
      <c r="A14" s="49" t="s">
        <v>51</v>
      </c>
      <c r="B14" s="69">
        <v>165900</v>
      </c>
      <c r="C14" s="69">
        <v>165900</v>
      </c>
      <c r="D14" s="69">
        <v>165900</v>
      </c>
      <c r="E14" s="69">
        <v>165900</v>
      </c>
      <c r="F14" s="69">
        <v>165900</v>
      </c>
      <c r="G14" s="69">
        <v>165900</v>
      </c>
      <c r="H14" s="69">
        <v>165900</v>
      </c>
      <c r="I14" s="69">
        <v>165900</v>
      </c>
      <c r="J14" s="69">
        <v>165900</v>
      </c>
      <c r="K14" s="69">
        <v>165900</v>
      </c>
      <c r="L14" s="69">
        <v>165900</v>
      </c>
      <c r="M14" s="69">
        <v>165900</v>
      </c>
      <c r="N14" s="62">
        <f t="shared" si="3"/>
        <v>1990800</v>
      </c>
      <c r="O14" s="61"/>
      <c r="P14" s="31"/>
      <c r="Q14" s="31"/>
      <c r="R14" s="31"/>
      <c r="S14" s="31"/>
      <c r="T14" s="31"/>
      <c r="U14" s="31"/>
      <c r="V14" s="31"/>
      <c r="W14" s="31"/>
      <c r="X14" s="31"/>
    </row>
    <row r="15" spans="1:24" ht="13" customHeight="1" x14ac:dyDescent="0.2">
      <c r="A15" s="49" t="s">
        <v>35</v>
      </c>
      <c r="B15" s="69">
        <v>8442</v>
      </c>
      <c r="C15" s="62">
        <v>8530</v>
      </c>
      <c r="D15" s="62">
        <v>8619</v>
      </c>
      <c r="E15" s="62">
        <v>8708</v>
      </c>
      <c r="F15" s="62">
        <v>8799</v>
      </c>
      <c r="G15" s="62">
        <v>8891</v>
      </c>
      <c r="H15" s="62">
        <v>8983</v>
      </c>
      <c r="I15" s="62">
        <v>9077</v>
      </c>
      <c r="J15" s="62">
        <v>9172</v>
      </c>
      <c r="K15" s="62">
        <v>9267</v>
      </c>
      <c r="L15" s="62">
        <v>9364</v>
      </c>
      <c r="M15" s="69">
        <v>9461</v>
      </c>
      <c r="N15" s="62">
        <f t="shared" si="3"/>
        <v>107313</v>
      </c>
      <c r="O15" s="61"/>
      <c r="P15" s="31"/>
      <c r="Q15" s="31"/>
      <c r="R15" s="31"/>
      <c r="S15" s="31"/>
      <c r="T15" s="31"/>
      <c r="U15" s="31"/>
      <c r="V15" s="31"/>
      <c r="W15" s="31"/>
      <c r="X15" s="31"/>
    </row>
    <row r="16" spans="1:24" s="3" customFormat="1" ht="12" customHeight="1" x14ac:dyDescent="0.2">
      <c r="A16" s="49" t="s">
        <v>56</v>
      </c>
      <c r="B16" s="69">
        <v>20833</v>
      </c>
      <c r="C16" s="62">
        <v>20745</v>
      </c>
      <c r="D16" s="57">
        <v>20657</v>
      </c>
      <c r="E16" s="62">
        <v>20567</v>
      </c>
      <c r="F16" s="57">
        <v>20476</v>
      </c>
      <c r="G16" s="62">
        <v>20384</v>
      </c>
      <c r="H16" s="57">
        <v>20292</v>
      </c>
      <c r="I16" s="62">
        <v>20198</v>
      </c>
      <c r="J16" s="57">
        <v>20104</v>
      </c>
      <c r="K16" s="62">
        <v>20008</v>
      </c>
      <c r="L16" s="57">
        <v>19912</v>
      </c>
      <c r="M16" s="69">
        <v>19814</v>
      </c>
      <c r="N16" s="62">
        <f t="shared" si="3"/>
        <v>243990</v>
      </c>
      <c r="O16" s="61"/>
      <c r="P16" s="31"/>
      <c r="Q16" s="31"/>
      <c r="R16" s="31"/>
      <c r="S16" s="31"/>
      <c r="T16" s="31"/>
      <c r="U16" s="31"/>
      <c r="V16" s="31"/>
      <c r="W16" s="31"/>
      <c r="X16" s="31"/>
    </row>
    <row r="17" spans="1:24" ht="12" customHeight="1" x14ac:dyDescent="0.2">
      <c r="A17" s="49" t="s">
        <v>61</v>
      </c>
      <c r="B17" s="69">
        <v>39000</v>
      </c>
      <c r="C17" s="62">
        <v>39000</v>
      </c>
      <c r="D17" s="57">
        <v>39000</v>
      </c>
      <c r="E17" s="62">
        <v>39000</v>
      </c>
      <c r="F17" s="57">
        <v>39000</v>
      </c>
      <c r="G17" s="62">
        <v>39000</v>
      </c>
      <c r="H17" s="57">
        <v>39000</v>
      </c>
      <c r="I17" s="62">
        <v>39000</v>
      </c>
      <c r="J17" s="57">
        <v>39000</v>
      </c>
      <c r="K17" s="62">
        <v>39000</v>
      </c>
      <c r="L17" s="57">
        <v>39000</v>
      </c>
      <c r="M17" s="69">
        <v>39000</v>
      </c>
      <c r="N17" s="62">
        <f>M17+L17+K17+J17+I17+H17+G17+F17+E17+D17+C17+B17</f>
        <v>468000</v>
      </c>
      <c r="O17" s="61"/>
      <c r="P17" s="31"/>
      <c r="Q17" s="31"/>
      <c r="R17" s="31"/>
      <c r="S17" s="31"/>
      <c r="T17" s="31"/>
      <c r="U17" s="31"/>
      <c r="V17" s="31"/>
      <c r="W17" s="31"/>
      <c r="X17" s="31"/>
    </row>
    <row r="18" spans="1:24" ht="12" customHeight="1" x14ac:dyDescent="0.2">
      <c r="A18" s="49" t="s">
        <v>105</v>
      </c>
      <c r="B18" s="69">
        <v>0</v>
      </c>
      <c r="C18" s="62">
        <v>0</v>
      </c>
      <c r="D18" s="57">
        <v>7000</v>
      </c>
      <c r="E18" s="62">
        <v>0</v>
      </c>
      <c r="F18" s="57">
        <v>0</v>
      </c>
      <c r="G18" s="62">
        <v>7000</v>
      </c>
      <c r="H18" s="57">
        <v>0</v>
      </c>
      <c r="I18" s="62">
        <v>0</v>
      </c>
      <c r="J18" s="57">
        <v>7000</v>
      </c>
      <c r="K18" s="62">
        <v>0</v>
      </c>
      <c r="L18" s="57">
        <v>0</v>
      </c>
      <c r="M18" s="69">
        <v>7000</v>
      </c>
      <c r="N18" s="62">
        <f>M18+L18+K18+J18+I18+H18+G18+F18+E18+D18+C18+B18</f>
        <v>28000</v>
      </c>
      <c r="O18" s="61"/>
      <c r="P18" s="31"/>
      <c r="Q18" s="31"/>
      <c r="R18" s="31"/>
      <c r="S18" s="31"/>
      <c r="T18" s="31"/>
      <c r="U18" s="31"/>
      <c r="V18" s="31"/>
      <c r="W18" s="31"/>
      <c r="X18" s="31"/>
    </row>
    <row r="19" spans="1:24" ht="12" customHeight="1" x14ac:dyDescent="0.2">
      <c r="A19" s="49" t="s">
        <v>19</v>
      </c>
      <c r="B19" s="69">
        <v>3750</v>
      </c>
      <c r="C19" s="62">
        <v>3750</v>
      </c>
      <c r="D19" s="57">
        <v>3750</v>
      </c>
      <c r="E19" s="62">
        <v>3750</v>
      </c>
      <c r="F19" s="57">
        <v>3750</v>
      </c>
      <c r="G19" s="62">
        <v>3750</v>
      </c>
      <c r="H19" s="57">
        <v>3750</v>
      </c>
      <c r="I19" s="62">
        <v>3750</v>
      </c>
      <c r="J19" s="57">
        <v>3750</v>
      </c>
      <c r="K19" s="62">
        <v>3750</v>
      </c>
      <c r="L19" s="57">
        <v>3750</v>
      </c>
      <c r="M19" s="69">
        <v>3750</v>
      </c>
      <c r="N19" s="62">
        <f>M19+L19+K19+J19+I19+H19+G19+F19+E19+D19+C19+B19</f>
        <v>45000</v>
      </c>
      <c r="O19" s="61"/>
      <c r="P19" s="31"/>
      <c r="Q19" s="31"/>
      <c r="R19" s="31"/>
      <c r="S19" s="31"/>
      <c r="T19" s="31"/>
      <c r="U19" s="31"/>
      <c r="V19" s="31"/>
      <c r="W19" s="31"/>
      <c r="X19" s="31"/>
    </row>
    <row r="20" spans="1:24" ht="12" customHeight="1" x14ac:dyDescent="0.2">
      <c r="A20" s="49" t="s">
        <v>59</v>
      </c>
      <c r="B20" s="69">
        <v>1250</v>
      </c>
      <c r="C20" s="62">
        <v>1250</v>
      </c>
      <c r="D20" s="57">
        <v>1250</v>
      </c>
      <c r="E20" s="62">
        <v>1250</v>
      </c>
      <c r="F20" s="57">
        <v>1250</v>
      </c>
      <c r="G20" s="62">
        <v>1250</v>
      </c>
      <c r="H20" s="57">
        <v>1250</v>
      </c>
      <c r="I20" s="62">
        <v>1250</v>
      </c>
      <c r="J20" s="57">
        <v>1250</v>
      </c>
      <c r="K20" s="62">
        <v>1250</v>
      </c>
      <c r="L20" s="57">
        <v>1250</v>
      </c>
      <c r="M20" s="69">
        <v>1250</v>
      </c>
      <c r="N20" s="62">
        <f t="shared" si="3"/>
        <v>15000</v>
      </c>
      <c r="O20" s="61"/>
      <c r="P20" s="31"/>
      <c r="Q20" s="31"/>
      <c r="R20" s="31"/>
      <c r="S20" s="31"/>
      <c r="T20" s="31"/>
      <c r="U20" s="31"/>
      <c r="V20" s="31"/>
      <c r="W20" s="31"/>
      <c r="X20" s="31"/>
    </row>
    <row r="21" spans="1:24" ht="12" customHeight="1" x14ac:dyDescent="0.2">
      <c r="A21" s="49" t="s">
        <v>60</v>
      </c>
      <c r="B21" s="69">
        <v>15000</v>
      </c>
      <c r="C21" s="62">
        <v>15000</v>
      </c>
      <c r="D21" s="57">
        <v>15000</v>
      </c>
      <c r="E21" s="62">
        <v>15000</v>
      </c>
      <c r="F21" s="57">
        <v>15000</v>
      </c>
      <c r="G21" s="62">
        <v>15000</v>
      </c>
      <c r="H21" s="57">
        <v>15000</v>
      </c>
      <c r="I21" s="62">
        <v>15000</v>
      </c>
      <c r="J21" s="57">
        <v>15000</v>
      </c>
      <c r="K21" s="62">
        <v>15000</v>
      </c>
      <c r="L21" s="57">
        <v>15000</v>
      </c>
      <c r="M21" s="69">
        <v>15000</v>
      </c>
      <c r="N21" s="62">
        <f t="shared" si="3"/>
        <v>180000</v>
      </c>
      <c r="O21" s="61"/>
      <c r="P21" s="31"/>
      <c r="Q21" s="31"/>
      <c r="R21" s="31"/>
      <c r="S21" s="31"/>
      <c r="T21" s="31"/>
      <c r="U21" s="31"/>
      <c r="V21" s="31"/>
      <c r="W21" s="31"/>
      <c r="X21" s="31"/>
    </row>
    <row r="22" spans="1:24" ht="12" customHeight="1" x14ac:dyDescent="0.2">
      <c r="A22" s="49" t="s">
        <v>45</v>
      </c>
      <c r="B22" s="69">
        <v>500</v>
      </c>
      <c r="C22" s="62">
        <v>0</v>
      </c>
      <c r="D22" s="57">
        <v>0</v>
      </c>
      <c r="E22" s="62">
        <v>0</v>
      </c>
      <c r="F22" s="57">
        <v>500</v>
      </c>
      <c r="G22" s="62">
        <v>0</v>
      </c>
      <c r="H22" s="57">
        <v>0</v>
      </c>
      <c r="I22" s="62">
        <v>0</v>
      </c>
      <c r="J22" s="57">
        <v>500</v>
      </c>
      <c r="K22" s="62">
        <v>0</v>
      </c>
      <c r="L22" s="57">
        <v>0</v>
      </c>
      <c r="M22" s="69">
        <v>0</v>
      </c>
      <c r="N22" s="62">
        <f t="shared" si="3"/>
        <v>1500</v>
      </c>
      <c r="O22" s="61"/>
      <c r="P22" s="31"/>
      <c r="Q22" s="31"/>
      <c r="R22" s="31"/>
      <c r="S22" s="31"/>
      <c r="T22" s="31"/>
      <c r="U22" s="31"/>
      <c r="V22" s="31"/>
      <c r="W22" s="31"/>
      <c r="X22" s="31"/>
    </row>
    <row r="23" spans="1:24" ht="12" customHeight="1" x14ac:dyDescent="0.2">
      <c r="A23" s="49" t="s">
        <v>46</v>
      </c>
      <c r="B23" s="69">
        <v>1500</v>
      </c>
      <c r="C23" s="62">
        <v>1500</v>
      </c>
      <c r="D23" s="57">
        <v>1500</v>
      </c>
      <c r="E23" s="62">
        <v>1500</v>
      </c>
      <c r="F23" s="57">
        <v>1500</v>
      </c>
      <c r="G23" s="62">
        <v>1500</v>
      </c>
      <c r="H23" s="57">
        <v>1500</v>
      </c>
      <c r="I23" s="62">
        <v>1500</v>
      </c>
      <c r="J23" s="57">
        <v>1500</v>
      </c>
      <c r="K23" s="62">
        <v>1500</v>
      </c>
      <c r="L23" s="57">
        <v>1500</v>
      </c>
      <c r="M23" s="69">
        <v>1500</v>
      </c>
      <c r="N23" s="62">
        <f t="shared" si="3"/>
        <v>18000</v>
      </c>
      <c r="O23" s="61"/>
      <c r="P23" s="31"/>
      <c r="Q23" s="31"/>
      <c r="R23" s="31"/>
      <c r="S23" s="31"/>
      <c r="T23" s="31"/>
      <c r="U23" s="31"/>
      <c r="V23" s="31"/>
      <c r="W23" s="31"/>
      <c r="X23" s="31"/>
    </row>
    <row r="24" spans="1:24" ht="12" customHeight="1" x14ac:dyDescent="0.2">
      <c r="A24" s="49" t="s">
        <v>44</v>
      </c>
      <c r="B24" s="69">
        <v>25</v>
      </c>
      <c r="C24" s="62">
        <v>25</v>
      </c>
      <c r="D24" s="57">
        <v>25</v>
      </c>
      <c r="E24" s="62">
        <v>25</v>
      </c>
      <c r="F24" s="57">
        <v>25</v>
      </c>
      <c r="G24" s="62">
        <v>25</v>
      </c>
      <c r="H24" s="57">
        <v>25</v>
      </c>
      <c r="I24" s="62">
        <v>25</v>
      </c>
      <c r="J24" s="57">
        <v>25</v>
      </c>
      <c r="K24" s="62">
        <v>25</v>
      </c>
      <c r="L24" s="57">
        <v>25</v>
      </c>
      <c r="M24" s="69">
        <v>25</v>
      </c>
      <c r="N24" s="62">
        <f t="shared" si="3"/>
        <v>300</v>
      </c>
      <c r="O24" s="61"/>
      <c r="P24" s="31"/>
      <c r="Q24" s="31"/>
      <c r="R24" s="31"/>
      <c r="S24" s="31"/>
      <c r="T24" s="31"/>
      <c r="U24" s="31"/>
      <c r="V24" s="31"/>
      <c r="W24" s="31"/>
      <c r="X24" s="31"/>
    </row>
    <row r="25" spans="1:24" ht="12" customHeight="1" x14ac:dyDescent="0.2">
      <c r="A25" s="49" t="s">
        <v>64</v>
      </c>
      <c r="B25" s="69">
        <v>1000</v>
      </c>
      <c r="C25" s="62">
        <v>1000</v>
      </c>
      <c r="D25" s="57">
        <v>1000</v>
      </c>
      <c r="E25" s="62">
        <v>1000</v>
      </c>
      <c r="F25" s="57">
        <v>1000</v>
      </c>
      <c r="G25" s="62">
        <v>1000</v>
      </c>
      <c r="H25" s="57">
        <v>1000</v>
      </c>
      <c r="I25" s="62">
        <v>1000</v>
      </c>
      <c r="J25" s="57">
        <v>1000</v>
      </c>
      <c r="K25" s="62">
        <v>1000</v>
      </c>
      <c r="L25" s="57">
        <v>1000</v>
      </c>
      <c r="M25" s="69">
        <v>1000</v>
      </c>
      <c r="N25" s="62">
        <f t="shared" si="3"/>
        <v>12000</v>
      </c>
      <c r="O25" s="61"/>
      <c r="P25" s="31"/>
      <c r="Q25" s="31"/>
      <c r="R25" s="31"/>
      <c r="S25" s="31"/>
      <c r="T25" s="31"/>
      <c r="U25" s="31"/>
      <c r="V25" s="31"/>
      <c r="W25" s="31"/>
      <c r="X25" s="31"/>
    </row>
    <row r="26" spans="1:24" ht="12" customHeight="1" x14ac:dyDescent="0.2">
      <c r="A26" s="116" t="s">
        <v>101</v>
      </c>
      <c r="B26" s="70">
        <v>10000</v>
      </c>
      <c r="C26" s="70">
        <v>10000</v>
      </c>
      <c r="D26" s="70">
        <v>10000</v>
      </c>
      <c r="E26" s="70">
        <v>10000</v>
      </c>
      <c r="F26" s="70">
        <v>10000</v>
      </c>
      <c r="G26" s="70">
        <v>10000</v>
      </c>
      <c r="H26" s="70">
        <v>10000</v>
      </c>
      <c r="I26" s="70">
        <v>10000</v>
      </c>
      <c r="J26" s="70">
        <v>10000</v>
      </c>
      <c r="K26" s="70">
        <v>10000</v>
      </c>
      <c r="L26" s="70">
        <v>10000</v>
      </c>
      <c r="M26" s="70">
        <v>10000</v>
      </c>
      <c r="N26" s="62">
        <f t="shared" si="3"/>
        <v>120000</v>
      </c>
      <c r="O26" s="61"/>
      <c r="P26" s="31"/>
      <c r="Q26" s="31"/>
      <c r="R26" s="31"/>
      <c r="S26" s="31"/>
      <c r="T26" s="31"/>
      <c r="U26" s="31"/>
      <c r="V26" s="31"/>
      <c r="W26" s="31"/>
      <c r="X26" s="31"/>
    </row>
    <row r="27" spans="1:24" ht="12" customHeight="1" x14ac:dyDescent="0.2">
      <c r="A27" s="49" t="s">
        <v>48</v>
      </c>
      <c r="B27" s="69">
        <v>0</v>
      </c>
      <c r="C27" s="62">
        <v>0</v>
      </c>
      <c r="D27" s="57">
        <v>0</v>
      </c>
      <c r="E27" s="62">
        <v>0</v>
      </c>
      <c r="F27" s="57">
        <v>0</v>
      </c>
      <c r="G27" s="62">
        <v>0</v>
      </c>
      <c r="H27" s="57">
        <v>0</v>
      </c>
      <c r="I27" s="62">
        <v>0</v>
      </c>
      <c r="J27" s="57">
        <v>0</v>
      </c>
      <c r="K27" s="62">
        <v>0</v>
      </c>
      <c r="L27" s="57">
        <v>0</v>
      </c>
      <c r="M27" s="69">
        <v>0</v>
      </c>
      <c r="N27" s="62">
        <f t="shared" si="3"/>
        <v>0</v>
      </c>
      <c r="O27" s="61"/>
      <c r="P27" s="31"/>
      <c r="Q27" s="31"/>
      <c r="R27" s="31"/>
      <c r="S27" s="31"/>
      <c r="T27" s="31"/>
      <c r="U27" s="31"/>
      <c r="V27" s="31"/>
      <c r="W27" s="31"/>
      <c r="X27" s="31"/>
    </row>
    <row r="28" spans="1:24" ht="12" customHeight="1" x14ac:dyDescent="0.2">
      <c r="A28" s="49" t="s">
        <v>62</v>
      </c>
      <c r="B28" s="69">
        <v>50000</v>
      </c>
      <c r="C28" s="62">
        <v>0</v>
      </c>
      <c r="D28" s="57">
        <v>0</v>
      </c>
      <c r="E28" s="62">
        <v>0</v>
      </c>
      <c r="F28" s="57">
        <v>0</v>
      </c>
      <c r="G28" s="62">
        <v>0</v>
      </c>
      <c r="H28" s="57">
        <v>50000</v>
      </c>
      <c r="I28" s="62">
        <v>0</v>
      </c>
      <c r="J28" s="57">
        <v>0</v>
      </c>
      <c r="K28" s="62">
        <v>0</v>
      </c>
      <c r="L28" s="57">
        <v>0</v>
      </c>
      <c r="M28" s="69">
        <v>0</v>
      </c>
      <c r="N28" s="62">
        <f t="shared" si="3"/>
        <v>100000</v>
      </c>
      <c r="O28" s="61"/>
      <c r="P28" s="31"/>
      <c r="Q28" s="31"/>
      <c r="R28" s="31"/>
      <c r="S28" s="31"/>
      <c r="T28" s="31"/>
      <c r="U28" s="31"/>
      <c r="V28" s="31"/>
      <c r="W28" s="31"/>
      <c r="X28" s="31"/>
    </row>
    <row r="29" spans="1:24" ht="12" customHeight="1" x14ac:dyDescent="0.2">
      <c r="A29" s="49" t="s">
        <v>121</v>
      </c>
      <c r="B29" s="69">
        <v>700000</v>
      </c>
      <c r="C29" s="62">
        <v>0</v>
      </c>
      <c r="D29" s="57">
        <v>0</v>
      </c>
      <c r="E29" s="62">
        <v>0</v>
      </c>
      <c r="F29" s="57">
        <v>0</v>
      </c>
      <c r="G29" s="62">
        <v>0</v>
      </c>
      <c r="H29" s="57">
        <v>0</v>
      </c>
      <c r="I29" s="62">
        <v>0</v>
      </c>
      <c r="J29" s="57">
        <v>0</v>
      </c>
      <c r="K29" s="62">
        <v>0</v>
      </c>
      <c r="L29" s="57">
        <v>0</v>
      </c>
      <c r="M29" s="69">
        <v>0</v>
      </c>
      <c r="N29" s="62">
        <f t="shared" si="3"/>
        <v>700000</v>
      </c>
      <c r="O29" s="61"/>
      <c r="P29" s="31"/>
      <c r="Q29" s="31"/>
      <c r="R29" s="31"/>
      <c r="S29" s="31"/>
      <c r="T29" s="31"/>
      <c r="U29" s="31"/>
      <c r="V29" s="31"/>
      <c r="W29" s="31"/>
      <c r="X29" s="31"/>
    </row>
    <row r="30" spans="1:24" ht="12" customHeight="1" thickBot="1" x14ac:dyDescent="0.25">
      <c r="A30" s="49" t="s">
        <v>100</v>
      </c>
      <c r="B30" s="71">
        <v>148000</v>
      </c>
      <c r="C30" s="123">
        <v>0</v>
      </c>
      <c r="D30" s="123">
        <v>0</v>
      </c>
      <c r="E30" s="123">
        <v>0</v>
      </c>
      <c r="F30" s="123">
        <v>0</v>
      </c>
      <c r="G30" s="123">
        <v>0</v>
      </c>
      <c r="H30" s="123">
        <v>0</v>
      </c>
      <c r="I30" s="123">
        <v>0</v>
      </c>
      <c r="J30" s="123">
        <v>0</v>
      </c>
      <c r="K30" s="123">
        <v>0</v>
      </c>
      <c r="L30" s="123">
        <v>0</v>
      </c>
      <c r="M30" s="71">
        <v>0</v>
      </c>
      <c r="N30" s="123">
        <f t="shared" si="3"/>
        <v>148000</v>
      </c>
      <c r="O30" s="61"/>
      <c r="P30" s="31"/>
      <c r="Q30" s="31"/>
      <c r="R30" s="31"/>
      <c r="S30" s="31"/>
      <c r="T30" s="31"/>
      <c r="U30" s="31"/>
      <c r="V30" s="31"/>
      <c r="W30" s="31"/>
      <c r="X30" s="31"/>
    </row>
    <row r="31" spans="1:24" ht="15" customHeight="1" thickBot="1" x14ac:dyDescent="0.25">
      <c r="A31" s="51" t="s">
        <v>6</v>
      </c>
      <c r="B31" s="72">
        <f t="shared" ref="B31:N31" si="4">B8-B9</f>
        <v>1088225</v>
      </c>
      <c r="C31" s="72">
        <f t="shared" si="4"/>
        <v>-76275</v>
      </c>
      <c r="D31" s="72">
        <f t="shared" si="4"/>
        <v>-83276</v>
      </c>
      <c r="E31" s="72">
        <f t="shared" si="4"/>
        <v>-76275</v>
      </c>
      <c r="F31" s="72">
        <f t="shared" si="4"/>
        <v>-76775</v>
      </c>
      <c r="G31" s="72">
        <f t="shared" si="4"/>
        <v>-83275</v>
      </c>
      <c r="H31" s="72">
        <f t="shared" si="4"/>
        <v>-126275</v>
      </c>
      <c r="I31" s="72">
        <f t="shared" si="4"/>
        <v>-76275</v>
      </c>
      <c r="J31" s="72">
        <f t="shared" si="4"/>
        <v>-83776</v>
      </c>
      <c r="K31" s="72">
        <f t="shared" si="4"/>
        <v>-76275</v>
      </c>
      <c r="L31" s="72">
        <f t="shared" si="4"/>
        <v>-76276</v>
      </c>
      <c r="M31" s="72">
        <f t="shared" si="4"/>
        <v>-83275</v>
      </c>
      <c r="N31" s="72">
        <f t="shared" si="4"/>
        <v>170197</v>
      </c>
      <c r="O31" s="61"/>
      <c r="P31" s="31"/>
      <c r="Q31" s="31"/>
      <c r="R31" s="31"/>
      <c r="S31" s="31"/>
      <c r="T31" s="31"/>
      <c r="U31" s="31"/>
      <c r="V31" s="31"/>
      <c r="W31" s="31"/>
      <c r="X31" s="31"/>
    </row>
    <row r="32" spans="1:24" ht="5" customHeight="1" thickTop="1" thickBot="1" x14ac:dyDescent="0.25">
      <c r="A32" s="49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61"/>
      <c r="P32" s="31"/>
      <c r="Q32" s="31"/>
      <c r="R32" s="31"/>
      <c r="S32" s="31"/>
      <c r="T32" s="31"/>
      <c r="U32" s="31"/>
      <c r="V32" s="31"/>
      <c r="W32" s="31"/>
      <c r="X32" s="31"/>
    </row>
    <row r="33" spans="1:24" ht="12" customHeight="1" x14ac:dyDescent="0.2">
      <c r="A33" s="49" t="s">
        <v>3</v>
      </c>
      <c r="B33" s="73">
        <v>0</v>
      </c>
      <c r="C33" s="74">
        <f>B35</f>
        <v>1088225</v>
      </c>
      <c r="D33" s="74">
        <f>C35</f>
        <v>1011950</v>
      </c>
      <c r="E33" s="74">
        <f t="shared" ref="E33:N33" si="5">D35</f>
        <v>928674</v>
      </c>
      <c r="F33" s="74">
        <f t="shared" si="5"/>
        <v>852399</v>
      </c>
      <c r="G33" s="74">
        <f t="shared" si="5"/>
        <v>775624</v>
      </c>
      <c r="H33" s="74">
        <f t="shared" si="5"/>
        <v>692349</v>
      </c>
      <c r="I33" s="74">
        <f t="shared" si="5"/>
        <v>566074</v>
      </c>
      <c r="J33" s="74">
        <f t="shared" si="5"/>
        <v>489799</v>
      </c>
      <c r="K33" s="74">
        <f t="shared" si="5"/>
        <v>406023</v>
      </c>
      <c r="L33" s="74">
        <f t="shared" si="5"/>
        <v>329748</v>
      </c>
      <c r="M33" s="74">
        <f t="shared" si="5"/>
        <v>253472</v>
      </c>
      <c r="N33" s="60">
        <f t="shared" si="5"/>
        <v>170197</v>
      </c>
      <c r="O33" s="61"/>
      <c r="P33" s="31"/>
      <c r="Q33" s="31"/>
      <c r="R33" s="31"/>
      <c r="S33" s="31"/>
      <c r="T33" s="31"/>
      <c r="U33" s="31"/>
      <c r="V33" s="31"/>
      <c r="W33" s="31"/>
      <c r="X33" s="31"/>
    </row>
    <row r="34" spans="1:24" ht="13" customHeight="1" thickBot="1" x14ac:dyDescent="0.25">
      <c r="A34" s="49" t="s">
        <v>4</v>
      </c>
      <c r="B34" s="71">
        <f>B31</f>
        <v>1088225</v>
      </c>
      <c r="C34" s="63">
        <f>C31</f>
        <v>-76275</v>
      </c>
      <c r="D34" s="63">
        <f t="shared" ref="D34:N34" si="6">D31</f>
        <v>-83276</v>
      </c>
      <c r="E34" s="63">
        <f t="shared" si="6"/>
        <v>-76275</v>
      </c>
      <c r="F34" s="63">
        <f t="shared" si="6"/>
        <v>-76775</v>
      </c>
      <c r="G34" s="63">
        <f t="shared" si="6"/>
        <v>-83275</v>
      </c>
      <c r="H34" s="63">
        <f t="shared" si="6"/>
        <v>-126275</v>
      </c>
      <c r="I34" s="63">
        <f t="shared" si="6"/>
        <v>-76275</v>
      </c>
      <c r="J34" s="63">
        <f t="shared" si="6"/>
        <v>-83776</v>
      </c>
      <c r="K34" s="63">
        <f t="shared" si="6"/>
        <v>-76275</v>
      </c>
      <c r="L34" s="63">
        <f t="shared" si="6"/>
        <v>-76276</v>
      </c>
      <c r="M34" s="63">
        <f t="shared" si="6"/>
        <v>-83275</v>
      </c>
      <c r="N34" s="75">
        <f t="shared" si="6"/>
        <v>170197</v>
      </c>
      <c r="O34" s="61"/>
      <c r="P34" s="31"/>
      <c r="Q34" s="31"/>
      <c r="R34" s="31"/>
      <c r="S34" s="31"/>
      <c r="T34" s="31"/>
      <c r="U34" s="31"/>
      <c r="V34" s="31"/>
      <c r="W34" s="31"/>
      <c r="X34" s="31"/>
    </row>
    <row r="35" spans="1:24" ht="12" customHeight="1" thickBot="1" x14ac:dyDescent="0.25">
      <c r="A35" s="51" t="s">
        <v>5</v>
      </c>
      <c r="B35" s="72">
        <f>B33+B34</f>
        <v>1088225</v>
      </c>
      <c r="C35" s="72">
        <f t="shared" ref="C35:N35" si="7">C33+C34</f>
        <v>1011950</v>
      </c>
      <c r="D35" s="72">
        <f t="shared" si="7"/>
        <v>928674</v>
      </c>
      <c r="E35" s="72">
        <f t="shared" si="7"/>
        <v>852399</v>
      </c>
      <c r="F35" s="72">
        <f t="shared" si="7"/>
        <v>775624</v>
      </c>
      <c r="G35" s="72">
        <f t="shared" si="7"/>
        <v>692349</v>
      </c>
      <c r="H35" s="72">
        <f t="shared" si="7"/>
        <v>566074</v>
      </c>
      <c r="I35" s="72">
        <f t="shared" si="7"/>
        <v>489799</v>
      </c>
      <c r="J35" s="72">
        <f t="shared" si="7"/>
        <v>406023</v>
      </c>
      <c r="K35" s="72">
        <f t="shared" si="7"/>
        <v>329748</v>
      </c>
      <c r="L35" s="72">
        <f t="shared" si="7"/>
        <v>253472</v>
      </c>
      <c r="M35" s="72">
        <f t="shared" si="7"/>
        <v>170197</v>
      </c>
      <c r="N35" s="72">
        <f t="shared" si="7"/>
        <v>340394</v>
      </c>
      <c r="O35" s="61"/>
      <c r="P35" s="31"/>
      <c r="Q35" s="31"/>
      <c r="R35" s="31"/>
      <c r="S35" s="31"/>
      <c r="T35" s="31"/>
      <c r="U35" s="31"/>
      <c r="V35" s="31"/>
      <c r="W35" s="31"/>
      <c r="X35" s="31"/>
    </row>
    <row r="36" spans="1:24" ht="16" thickTop="1" x14ac:dyDescent="0.2">
      <c r="A36" s="4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31"/>
      <c r="Q36" s="31"/>
      <c r="R36" s="31"/>
      <c r="S36" s="31"/>
      <c r="T36" s="31"/>
      <c r="U36" s="31"/>
      <c r="V36" s="31"/>
      <c r="W36" s="31"/>
      <c r="X36" s="31"/>
    </row>
    <row r="38" spans="1:24" x14ac:dyDescent="0.2">
      <c r="A38" s="2" t="s">
        <v>102</v>
      </c>
    </row>
    <row r="39" spans="1:24" x14ac:dyDescent="0.2">
      <c r="A39" t="s">
        <v>111</v>
      </c>
    </row>
    <row r="40" spans="1:24" x14ac:dyDescent="0.2">
      <c r="A40" t="s">
        <v>103</v>
      </c>
    </row>
  </sheetData>
  <pageMargins left="0.7" right="0.7" top="0.75" bottom="0.75" header="0.3" footer="0.3"/>
  <pageSetup scale="80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0"/>
  <sheetViews>
    <sheetView zoomScale="238" workbookViewId="0">
      <selection activeCell="B12" sqref="B12"/>
    </sheetView>
  </sheetViews>
  <sheetFormatPr baseColWidth="10" defaultColWidth="8.83203125" defaultRowHeight="16" x14ac:dyDescent="0.2"/>
  <cols>
    <col min="1" max="1" width="20.83203125" style="7" customWidth="1"/>
    <col min="2" max="2" width="12" style="7" customWidth="1"/>
    <col min="3" max="4" width="12.33203125" style="7" customWidth="1"/>
    <col min="5" max="5" width="12" style="7" customWidth="1"/>
    <col min="6" max="6" width="12.83203125" style="7" customWidth="1"/>
    <col min="7" max="7" width="2.1640625" style="7" customWidth="1"/>
    <col min="8" max="16384" width="8.83203125" style="7"/>
  </cols>
  <sheetData>
    <row r="1" spans="1:8" s="8" customFormat="1" x14ac:dyDescent="0.2">
      <c r="A1" s="8" t="s">
        <v>108</v>
      </c>
      <c r="E1" s="7"/>
      <c r="F1" s="7"/>
    </row>
    <row r="2" spans="1:8" s="8" customFormat="1" ht="8" customHeight="1" thickBot="1" x14ac:dyDescent="0.25">
      <c r="E2" s="7"/>
      <c r="F2" s="7"/>
    </row>
    <row r="3" spans="1:8" s="8" customFormat="1" ht="14" customHeight="1" thickBot="1" x14ac:dyDescent="0.25">
      <c r="A3" s="35" t="s">
        <v>7</v>
      </c>
      <c r="B3" s="36" t="s">
        <v>8</v>
      </c>
      <c r="C3" s="36" t="s">
        <v>9</v>
      </c>
      <c r="D3" s="36" t="s">
        <v>10</v>
      </c>
      <c r="E3" s="36" t="s">
        <v>11</v>
      </c>
      <c r="F3" s="37" t="s">
        <v>12</v>
      </c>
      <c r="G3" s="33"/>
    </row>
    <row r="4" spans="1:8" ht="17" customHeight="1" x14ac:dyDescent="0.2">
      <c r="A4" s="38" t="s">
        <v>1</v>
      </c>
      <c r="B4" s="76"/>
      <c r="C4" s="76"/>
      <c r="D4" s="76"/>
      <c r="E4" s="76"/>
      <c r="F4" s="76"/>
      <c r="G4" s="77"/>
      <c r="H4" s="78"/>
    </row>
    <row r="5" spans="1:8" ht="15" customHeight="1" x14ac:dyDescent="0.2">
      <c r="A5" s="39" t="s">
        <v>40</v>
      </c>
      <c r="B5" s="79">
        <f>'12 Months cash flow statement'!N5</f>
        <v>3150000</v>
      </c>
      <c r="C5" s="79">
        <f>'Revenue Forecast'!C9</f>
        <v>3622500</v>
      </c>
      <c r="D5" s="79">
        <f>'Revenue Forecast'!D9</f>
        <v>4165875</v>
      </c>
      <c r="E5" s="79">
        <f>'Revenue Forecast'!E9</f>
        <v>4790756</v>
      </c>
      <c r="F5" s="79">
        <f>'Revenue Forecast'!F9</f>
        <v>5509369</v>
      </c>
      <c r="G5" s="77"/>
      <c r="H5" s="78"/>
    </row>
    <row r="6" spans="1:8" ht="13" customHeight="1" x14ac:dyDescent="0.2">
      <c r="A6" s="39" t="str">
        <f>'12 Months cash flow statement'!A6</f>
        <v>owner's contributions</v>
      </c>
      <c r="B6" s="79">
        <f>'12 Months cash flow statement'!B6</f>
        <v>60000</v>
      </c>
      <c r="C6" s="79">
        <v>0</v>
      </c>
      <c r="D6" s="79">
        <v>0</v>
      </c>
      <c r="E6" s="82">
        <v>0</v>
      </c>
      <c r="F6" s="79">
        <f t="shared" ref="F6:F7" si="0">ROUND(E6*115/100,0)</f>
        <v>0</v>
      </c>
      <c r="G6" s="77"/>
      <c r="H6" s="78"/>
    </row>
    <row r="7" spans="1:8" ht="15" customHeight="1" thickBot="1" x14ac:dyDescent="0.25">
      <c r="A7" s="39" t="s">
        <v>34</v>
      </c>
      <c r="B7" s="81">
        <f>'12 Months cash flow statement'!N7</f>
        <v>2000000</v>
      </c>
      <c r="C7" s="81">
        <f>'12 Months cash flow statement'!O7</f>
        <v>0</v>
      </c>
      <c r="D7" s="81">
        <f>'12 Months cash flow statement'!P7</f>
        <v>0</v>
      </c>
      <c r="E7" s="81">
        <f>'12 Months cash flow statement'!Q7</f>
        <v>0</v>
      </c>
      <c r="F7" s="81">
        <f t="shared" si="0"/>
        <v>0</v>
      </c>
      <c r="G7" s="77"/>
      <c r="H7" s="78"/>
    </row>
    <row r="8" spans="1:8" ht="16" customHeight="1" x14ac:dyDescent="0.2">
      <c r="A8" s="38" t="s">
        <v>13</v>
      </c>
      <c r="B8" s="76">
        <f>B5+B6+B7</f>
        <v>5210000</v>
      </c>
      <c r="C8" s="76">
        <f>C5+C6+C7</f>
        <v>3622500</v>
      </c>
      <c r="D8" s="76">
        <f>D5+D6+D7</f>
        <v>4165875</v>
      </c>
      <c r="E8" s="76">
        <f>E5+E6+E7</f>
        <v>4790756</v>
      </c>
      <c r="F8" s="76">
        <f>F5+F6+F7</f>
        <v>5509369</v>
      </c>
      <c r="G8" s="77"/>
      <c r="H8" s="78"/>
    </row>
    <row r="9" spans="1:8" ht="16" customHeight="1" thickBot="1" x14ac:dyDescent="0.25">
      <c r="A9" s="38" t="s">
        <v>2</v>
      </c>
      <c r="B9" s="79">
        <f>SUM(B10:B30)</f>
        <v>5039803</v>
      </c>
      <c r="C9" s="79">
        <f>SUM(C10:C30)</f>
        <v>3460138</v>
      </c>
      <c r="D9" s="79">
        <f>SUM(D10:D30)</f>
        <v>3815179</v>
      </c>
      <c r="E9" s="79">
        <f>SUM(E10:E30)</f>
        <v>4574068</v>
      </c>
      <c r="F9" s="79">
        <f>SUM(F10:F30)</f>
        <v>5162984</v>
      </c>
      <c r="G9" s="77"/>
      <c r="H9" s="78"/>
    </row>
    <row r="10" spans="1:8" ht="16" customHeight="1" x14ac:dyDescent="0.2">
      <c r="A10" s="39" t="s">
        <v>69</v>
      </c>
      <c r="B10" s="83">
        <f>'12 Months cash flow statement'!N10</f>
        <v>598500</v>
      </c>
      <c r="C10" s="80">
        <f>ROUND(19%*C5,0)</f>
        <v>688275</v>
      </c>
      <c r="D10" s="80">
        <f>ROUND(19%*D5,0)</f>
        <v>791516</v>
      </c>
      <c r="E10" s="80">
        <f>ROUND(25%*E5,0)</f>
        <v>1197689</v>
      </c>
      <c r="F10" s="84">
        <f>ROUND(25%*F5,0)</f>
        <v>1377342</v>
      </c>
      <c r="G10" s="77"/>
      <c r="H10" s="78"/>
    </row>
    <row r="11" spans="1:8" ht="16" customHeight="1" x14ac:dyDescent="0.2">
      <c r="A11" s="39" t="str">
        <f>'12 Months cash flow statement'!A11</f>
        <v>Bank Charges</v>
      </c>
      <c r="B11" s="85">
        <f>'12 Months cash flow statement'!N11</f>
        <v>14400</v>
      </c>
      <c r="C11" s="79">
        <f>B11</f>
        <v>14400</v>
      </c>
      <c r="D11" s="79">
        <v>14400</v>
      </c>
      <c r="E11" s="79">
        <f>D11</f>
        <v>14400</v>
      </c>
      <c r="F11" s="86">
        <f>E11</f>
        <v>14400</v>
      </c>
      <c r="G11" s="77"/>
      <c r="H11" s="78"/>
    </row>
    <row r="12" spans="1:8" ht="15" customHeight="1" x14ac:dyDescent="0.2">
      <c r="A12" s="39" t="str">
        <f>'12 Months cash flow statement'!A12</f>
        <v>Accounting &amp; Audit fees</v>
      </c>
      <c r="B12" s="85">
        <f>'12 Months cash flow statement'!N12</f>
        <v>180000</v>
      </c>
      <c r="C12" s="79">
        <v>180000</v>
      </c>
      <c r="D12" s="79">
        <v>180000</v>
      </c>
      <c r="E12" s="79">
        <v>180000</v>
      </c>
      <c r="F12" s="86">
        <v>180000</v>
      </c>
      <c r="G12" s="77"/>
      <c r="H12" s="78"/>
    </row>
    <row r="13" spans="1:8" ht="13" customHeight="1" x14ac:dyDescent="0.2">
      <c r="A13" s="39" t="str">
        <f>'12 Months cash flow statement'!A13</f>
        <v>Fuel &amp; Delivery</v>
      </c>
      <c r="B13" s="85">
        <f>'12 Months cash flow statement'!N13</f>
        <v>69000</v>
      </c>
      <c r="C13" s="79">
        <f t="shared" ref="C13:C20" si="1">B13</f>
        <v>69000</v>
      </c>
      <c r="D13" s="79">
        <v>190000</v>
      </c>
      <c r="E13" s="79">
        <v>190000</v>
      </c>
      <c r="F13" s="86">
        <f t="shared" ref="F13:F18" si="2">E13</f>
        <v>190000</v>
      </c>
      <c r="G13" s="77"/>
      <c r="H13" s="78"/>
    </row>
    <row r="14" spans="1:8" ht="16" customHeight="1" x14ac:dyDescent="0.2">
      <c r="A14" s="39" t="str">
        <f>'12 Months cash flow statement'!A14</f>
        <v>Advertising</v>
      </c>
      <c r="B14" s="85">
        <f>'12 Months cash flow statement'!N14</f>
        <v>1990800</v>
      </c>
      <c r="C14" s="82">
        <v>900000</v>
      </c>
      <c r="D14" s="82">
        <v>900000</v>
      </c>
      <c r="E14" s="79">
        <f>D14</f>
        <v>900000</v>
      </c>
      <c r="F14" s="86">
        <v>1000000</v>
      </c>
      <c r="G14" s="77"/>
      <c r="H14" s="78"/>
    </row>
    <row r="15" spans="1:8" ht="19" customHeight="1" x14ac:dyDescent="0.2">
      <c r="A15" s="39" t="str">
        <f>'12 Months cash flow statement'!A15</f>
        <v>Loan repayments</v>
      </c>
      <c r="B15" s="85">
        <f>'12 Months cash flow statement'!N15</f>
        <v>107313</v>
      </c>
      <c r="C15" s="79">
        <v>121523</v>
      </c>
      <c r="D15" s="79">
        <v>137614</v>
      </c>
      <c r="E15" s="79">
        <v>155837</v>
      </c>
      <c r="F15" s="86">
        <v>176472</v>
      </c>
      <c r="G15" s="77"/>
      <c r="H15" s="78"/>
    </row>
    <row r="16" spans="1:8" ht="13" customHeight="1" x14ac:dyDescent="0.2">
      <c r="A16" s="39" t="s">
        <v>56</v>
      </c>
      <c r="B16" s="85">
        <f>'12 Months cash flow statement'!N16</f>
        <v>243990</v>
      </c>
      <c r="C16" s="79">
        <v>229780</v>
      </c>
      <c r="D16" s="79">
        <v>213688</v>
      </c>
      <c r="E16" s="79">
        <v>195466</v>
      </c>
      <c r="F16" s="86">
        <v>174831</v>
      </c>
      <c r="G16" s="77"/>
      <c r="H16" s="78"/>
    </row>
    <row r="17" spans="1:8" ht="18" customHeight="1" x14ac:dyDescent="0.2">
      <c r="A17" s="39" t="str">
        <f>'12 Months cash flow statement'!A17</f>
        <v>Wages &amp; Salaries</v>
      </c>
      <c r="B17" s="85">
        <f>'12 Months cash flow statement'!N17</f>
        <v>468000</v>
      </c>
      <c r="C17" s="82">
        <v>800000</v>
      </c>
      <c r="D17" s="82">
        <v>800000</v>
      </c>
      <c r="E17" s="82">
        <v>933300</v>
      </c>
      <c r="F17" s="86">
        <v>1030000</v>
      </c>
      <c r="G17" s="77"/>
      <c r="H17" s="78"/>
    </row>
    <row r="18" spans="1:8" ht="16" customHeight="1" x14ac:dyDescent="0.2">
      <c r="A18" s="39" t="str">
        <f>'12 Months cash flow statement'!A18</f>
        <v>Repairs &amp; Maintenance</v>
      </c>
      <c r="B18" s="85">
        <f>'12 Months cash flow statement'!N18</f>
        <v>28000</v>
      </c>
      <c r="C18" s="82">
        <v>40000</v>
      </c>
      <c r="D18" s="82">
        <f>C18</f>
        <v>40000</v>
      </c>
      <c r="E18" s="82">
        <v>40000</v>
      </c>
      <c r="F18" s="86">
        <f t="shared" si="2"/>
        <v>40000</v>
      </c>
      <c r="G18" s="77"/>
      <c r="H18" s="78"/>
    </row>
    <row r="19" spans="1:8" ht="15" customHeight="1" x14ac:dyDescent="0.2">
      <c r="A19" s="39" t="str">
        <f>'12 Months cash flow statement'!A19</f>
        <v>insurance</v>
      </c>
      <c r="B19" s="85">
        <f>'12 Months cash flow statement'!N19</f>
        <v>45000</v>
      </c>
      <c r="C19" s="82">
        <f>B19*1.03</f>
        <v>46350</v>
      </c>
      <c r="D19" s="82">
        <f>C19*1.08</f>
        <v>50058</v>
      </c>
      <c r="E19" s="82">
        <f>ROUND(D19*1.05,0)</f>
        <v>52561</v>
      </c>
      <c r="F19" s="86">
        <v>58000</v>
      </c>
      <c r="G19" s="77"/>
      <c r="H19" s="78"/>
    </row>
    <row r="20" spans="1:8" ht="15" customHeight="1" x14ac:dyDescent="0.2">
      <c r="A20" s="39" t="str">
        <f>'12 Months cash flow statement'!A20</f>
        <v>Office Expenditure</v>
      </c>
      <c r="B20" s="85">
        <f>'12 Months cash flow statement'!N20</f>
        <v>15000</v>
      </c>
      <c r="C20" s="82">
        <f t="shared" si="1"/>
        <v>15000</v>
      </c>
      <c r="D20" s="82">
        <v>20000</v>
      </c>
      <c r="E20" s="82">
        <f>D20*1.02</f>
        <v>20400</v>
      </c>
      <c r="F20" s="86">
        <f>E20*1.04</f>
        <v>21216</v>
      </c>
      <c r="G20" s="77"/>
      <c r="H20" s="78"/>
    </row>
    <row r="21" spans="1:8" ht="12" customHeight="1" x14ac:dyDescent="0.2">
      <c r="A21" s="39" t="str">
        <f>'12 Months cash flow statement'!A21</f>
        <v>Rental, Water &amp; Electricity</v>
      </c>
      <c r="B21" s="85">
        <f>'12 Months cash flow statement'!N21</f>
        <v>180000</v>
      </c>
      <c r="C21" s="82">
        <f>ROUND(B21*1.1,0)</f>
        <v>198000</v>
      </c>
      <c r="D21" s="82">
        <f>ROUND(C21*1.1,0)</f>
        <v>217800</v>
      </c>
      <c r="E21" s="82">
        <f>ROUND(D21*1.1,0)</f>
        <v>239580</v>
      </c>
      <c r="F21" s="86">
        <f>ROUND(E21*1.1,0)</f>
        <v>263538</v>
      </c>
      <c r="G21" s="77"/>
      <c r="H21" s="78"/>
    </row>
    <row r="22" spans="1:8" ht="13" customHeight="1" x14ac:dyDescent="0.2">
      <c r="A22" s="39" t="str">
        <f>'12 Months cash flow statement'!A22</f>
        <v>Stationery</v>
      </c>
      <c r="B22" s="85">
        <f>'12 Months cash flow statement'!N22</f>
        <v>1500</v>
      </c>
      <c r="C22" s="82">
        <v>1500</v>
      </c>
      <c r="D22" s="82">
        <v>1500</v>
      </c>
      <c r="E22" s="82">
        <v>1500</v>
      </c>
      <c r="F22" s="86">
        <v>1500</v>
      </c>
      <c r="G22" s="77"/>
      <c r="H22" s="78"/>
    </row>
    <row r="23" spans="1:8" ht="17" customHeight="1" x14ac:dyDescent="0.2">
      <c r="A23" s="39" t="str">
        <f>'12 Months cash flow statement'!A23</f>
        <v>Telephone &amp; Internet</v>
      </c>
      <c r="B23" s="85">
        <f>'12 Months cash flow statement'!N23</f>
        <v>18000</v>
      </c>
      <c r="C23" s="82">
        <v>18000</v>
      </c>
      <c r="D23" s="82">
        <v>20000</v>
      </c>
      <c r="E23" s="82">
        <v>20000</v>
      </c>
      <c r="F23" s="86">
        <v>22000</v>
      </c>
      <c r="G23" s="77"/>
      <c r="H23" s="78"/>
    </row>
    <row r="24" spans="1:8" ht="17" customHeight="1" x14ac:dyDescent="0.2">
      <c r="A24" s="39" t="s">
        <v>44</v>
      </c>
      <c r="B24" s="85">
        <f>'12 Months cash flow statement'!N24</f>
        <v>300</v>
      </c>
      <c r="C24" s="82">
        <v>310</v>
      </c>
      <c r="D24" s="82">
        <v>330</v>
      </c>
      <c r="E24" s="82">
        <v>350</v>
      </c>
      <c r="F24" s="86">
        <v>350</v>
      </c>
      <c r="G24" s="77"/>
      <c r="H24" s="78"/>
    </row>
    <row r="25" spans="1:8" ht="21" customHeight="1" x14ac:dyDescent="0.2">
      <c r="A25" s="39" t="s">
        <v>65</v>
      </c>
      <c r="B25" s="85">
        <f>'12 Months cash flow statement'!N25</f>
        <v>12000</v>
      </c>
      <c r="C25" s="82">
        <v>12000</v>
      </c>
      <c r="D25" s="82">
        <v>15000</v>
      </c>
      <c r="E25" s="82">
        <v>15000</v>
      </c>
      <c r="F25" s="86">
        <v>18000</v>
      </c>
      <c r="G25" s="77"/>
      <c r="H25" s="78"/>
    </row>
    <row r="26" spans="1:8" ht="17" customHeight="1" x14ac:dyDescent="0.2">
      <c r="A26" s="20" t="s">
        <v>101</v>
      </c>
      <c r="B26" s="85">
        <f>'12 Months cash flow statement'!N26</f>
        <v>120000</v>
      </c>
      <c r="C26" s="82">
        <f>B26*1.05</f>
        <v>126000</v>
      </c>
      <c r="D26" s="82">
        <v>0</v>
      </c>
      <c r="E26" s="82">
        <v>0</v>
      </c>
      <c r="F26" s="86">
        <v>0</v>
      </c>
      <c r="G26" s="77"/>
      <c r="H26" s="78"/>
    </row>
    <row r="27" spans="1:8" ht="16" customHeight="1" x14ac:dyDescent="0.2">
      <c r="A27" s="39" t="s">
        <v>48</v>
      </c>
      <c r="B27" s="85">
        <f>'12 Months cash flow statement'!N27</f>
        <v>0</v>
      </c>
      <c r="C27" s="82">
        <v>0</v>
      </c>
      <c r="D27" s="82">
        <f>'5 year income statement'!C25</f>
        <v>223273</v>
      </c>
      <c r="E27" s="82">
        <f>'5 year income statement'!D25</f>
        <v>417985</v>
      </c>
      <c r="F27" s="124">
        <f>'5 year income statement'!E25</f>
        <v>565335</v>
      </c>
      <c r="G27" s="77"/>
      <c r="H27" s="78"/>
    </row>
    <row r="28" spans="1:8" ht="14" customHeight="1" x14ac:dyDescent="0.2">
      <c r="A28" s="39" t="str">
        <f>'12 Months cash flow statement'!A28</f>
        <v>Furniture &amp; Fittings</v>
      </c>
      <c r="B28" s="85">
        <f>'12 Months cash flow statement'!N28</f>
        <v>100000</v>
      </c>
      <c r="C28" s="82">
        <v>0</v>
      </c>
      <c r="D28" s="82">
        <v>0</v>
      </c>
      <c r="E28" s="82">
        <v>0</v>
      </c>
      <c r="F28" s="86">
        <v>30000</v>
      </c>
      <c r="G28" s="77"/>
      <c r="H28" s="78"/>
    </row>
    <row r="29" spans="1:8" ht="14" customHeight="1" x14ac:dyDescent="0.2">
      <c r="A29" s="39" t="s">
        <v>120</v>
      </c>
      <c r="B29" s="85">
        <f>'12 Months cash flow statement'!N29</f>
        <v>700000</v>
      </c>
      <c r="C29" s="125">
        <v>0</v>
      </c>
      <c r="D29" s="125">
        <v>0</v>
      </c>
      <c r="E29" s="125">
        <v>0</v>
      </c>
      <c r="F29" s="126">
        <v>0</v>
      </c>
      <c r="G29" s="77"/>
      <c r="H29" s="78"/>
    </row>
    <row r="30" spans="1:8" ht="14" customHeight="1" thickBot="1" x14ac:dyDescent="0.25">
      <c r="A30" s="39" t="s">
        <v>104</v>
      </c>
      <c r="B30" s="87">
        <f>'12 Months cash flow statement'!N30</f>
        <v>148000</v>
      </c>
      <c r="C30" s="127">
        <v>0</v>
      </c>
      <c r="D30" s="127">
        <v>0</v>
      </c>
      <c r="E30" s="127">
        <v>0</v>
      </c>
      <c r="F30" s="88">
        <v>0</v>
      </c>
      <c r="G30" s="77"/>
      <c r="H30" s="78"/>
    </row>
    <row r="31" spans="1:8" x14ac:dyDescent="0.2">
      <c r="A31" s="39" t="s">
        <v>14</v>
      </c>
      <c r="B31" s="85">
        <f t="shared" ref="B31:F32" si="3">B8</f>
        <v>5210000</v>
      </c>
      <c r="C31" s="79">
        <f t="shared" si="3"/>
        <v>3622500</v>
      </c>
      <c r="D31" s="79">
        <f t="shared" si="3"/>
        <v>4165875</v>
      </c>
      <c r="E31" s="79">
        <f t="shared" si="3"/>
        <v>4790756</v>
      </c>
      <c r="F31" s="86">
        <f t="shared" si="3"/>
        <v>5509369</v>
      </c>
      <c r="G31" s="77"/>
      <c r="H31" s="78"/>
    </row>
    <row r="32" spans="1:8" x14ac:dyDescent="0.2">
      <c r="A32" s="39" t="s">
        <v>2</v>
      </c>
      <c r="B32" s="85">
        <f t="shared" si="3"/>
        <v>5039803</v>
      </c>
      <c r="C32" s="79">
        <f t="shared" si="3"/>
        <v>3460138</v>
      </c>
      <c r="D32" s="79">
        <f t="shared" si="3"/>
        <v>3815179</v>
      </c>
      <c r="E32" s="79">
        <f t="shared" si="3"/>
        <v>4574068</v>
      </c>
      <c r="F32" s="86">
        <f t="shared" si="3"/>
        <v>5162984</v>
      </c>
      <c r="G32" s="77"/>
      <c r="H32" s="78"/>
    </row>
    <row r="33" spans="1:8" ht="17" thickBot="1" x14ac:dyDescent="0.25">
      <c r="A33" s="38" t="s">
        <v>15</v>
      </c>
      <c r="B33" s="89">
        <f>B31-B32</f>
        <v>170197</v>
      </c>
      <c r="C33" s="89">
        <f t="shared" ref="C33:F33" si="4">C31-C32</f>
        <v>162362</v>
      </c>
      <c r="D33" s="89">
        <f t="shared" si="4"/>
        <v>350696</v>
      </c>
      <c r="E33" s="89">
        <f t="shared" si="4"/>
        <v>216688</v>
      </c>
      <c r="F33" s="89">
        <f t="shared" si="4"/>
        <v>346385</v>
      </c>
      <c r="G33" s="77"/>
      <c r="H33" s="78"/>
    </row>
    <row r="34" spans="1:8" ht="9.75" customHeight="1" thickTop="1" thickBot="1" x14ac:dyDescent="0.25">
      <c r="A34" s="39"/>
      <c r="B34" s="79"/>
      <c r="C34" s="79"/>
      <c r="D34" s="79"/>
      <c r="E34" s="79"/>
      <c r="F34" s="79"/>
      <c r="G34" s="77"/>
      <c r="H34" s="78"/>
    </row>
    <row r="35" spans="1:8" x14ac:dyDescent="0.2">
      <c r="A35" s="39" t="s">
        <v>3</v>
      </c>
      <c r="B35" s="83">
        <v>0</v>
      </c>
      <c r="C35" s="80">
        <f>B37</f>
        <v>170197</v>
      </c>
      <c r="D35" s="80">
        <f>C37</f>
        <v>332559</v>
      </c>
      <c r="E35" s="80">
        <f>D37</f>
        <v>683255</v>
      </c>
      <c r="F35" s="84">
        <f>E37</f>
        <v>899943</v>
      </c>
      <c r="G35" s="77"/>
      <c r="H35" s="78"/>
    </row>
    <row r="36" spans="1:8" ht="17" thickBot="1" x14ac:dyDescent="0.25">
      <c r="A36" s="39" t="s">
        <v>16</v>
      </c>
      <c r="B36" s="87">
        <f>B33</f>
        <v>170197</v>
      </c>
      <c r="C36" s="81">
        <f t="shared" ref="C36:F36" si="5">C33</f>
        <v>162362</v>
      </c>
      <c r="D36" s="81">
        <f t="shared" si="5"/>
        <v>350696</v>
      </c>
      <c r="E36" s="81">
        <f t="shared" si="5"/>
        <v>216688</v>
      </c>
      <c r="F36" s="88">
        <f t="shared" si="5"/>
        <v>346385</v>
      </c>
      <c r="G36" s="77"/>
      <c r="H36" s="78"/>
    </row>
    <row r="37" spans="1:8" ht="17" thickBot="1" x14ac:dyDescent="0.25">
      <c r="A37" s="38" t="s">
        <v>5</v>
      </c>
      <c r="B37" s="90">
        <f>B35+B36</f>
        <v>170197</v>
      </c>
      <c r="C37" s="90">
        <f>C36+C35</f>
        <v>332559</v>
      </c>
      <c r="D37" s="90">
        <f>D36+D35</f>
        <v>683255</v>
      </c>
      <c r="E37" s="90">
        <f>E35+E36</f>
        <v>899943</v>
      </c>
      <c r="F37" s="90">
        <f>F35+F36</f>
        <v>1246328</v>
      </c>
      <c r="G37" s="77"/>
      <c r="H37" s="78"/>
    </row>
    <row r="38" spans="1:8" ht="17" thickTop="1" x14ac:dyDescent="0.2">
      <c r="A38" s="34"/>
      <c r="B38" s="77"/>
      <c r="C38" s="77"/>
      <c r="D38" s="77"/>
      <c r="E38" s="77"/>
      <c r="F38" s="77"/>
      <c r="G38" s="77"/>
      <c r="H38" s="78"/>
    </row>
    <row r="39" spans="1:8" x14ac:dyDescent="0.2">
      <c r="B39" s="52"/>
      <c r="C39" s="52"/>
      <c r="D39" s="52"/>
      <c r="E39" s="52"/>
      <c r="F39" s="52"/>
      <c r="G39" s="52"/>
    </row>
    <row r="40" spans="1:8" x14ac:dyDescent="0.2">
      <c r="B40" s="52"/>
      <c r="C40" s="52"/>
      <c r="D40" s="52"/>
      <c r="E40" s="52"/>
      <c r="F40" s="52"/>
      <c r="G40" s="52"/>
    </row>
  </sheetData>
  <pageMargins left="0.7" right="0.7" top="0.75" bottom="0.75" header="0.3" footer="0.3"/>
  <pageSetup orientation="landscape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185B6-3C40-6D49-9411-C71F85FADC81}">
  <dimension ref="A1:G24"/>
  <sheetViews>
    <sheetView topLeftCell="A2" workbookViewId="0">
      <selection activeCell="F20" sqref="F20"/>
    </sheetView>
  </sheetViews>
  <sheetFormatPr baseColWidth="10" defaultRowHeight="14" x14ac:dyDescent="0.15"/>
  <cols>
    <col min="1" max="1" width="25.1640625" style="9" customWidth="1"/>
    <col min="2" max="2" width="16.1640625" style="9" customWidth="1"/>
    <col min="3" max="3" width="15.6640625" style="9" customWidth="1"/>
    <col min="4" max="4" width="17.1640625" style="9" customWidth="1"/>
    <col min="5" max="5" width="15.5" style="9" customWidth="1"/>
    <col min="6" max="6" width="17.33203125" style="9" customWidth="1"/>
    <col min="7" max="16384" width="10.83203125" style="9"/>
  </cols>
  <sheetData>
    <row r="1" spans="1:7" x14ac:dyDescent="0.15">
      <c r="A1" s="18" t="s">
        <v>107</v>
      </c>
      <c r="B1" s="18"/>
      <c r="C1" s="18"/>
    </row>
    <row r="3" spans="1:7" x14ac:dyDescent="0.15">
      <c r="A3" s="53"/>
      <c r="B3" s="19" t="s">
        <v>8</v>
      </c>
      <c r="C3" s="19" t="s">
        <v>9</v>
      </c>
      <c r="D3" s="19" t="s">
        <v>10</v>
      </c>
      <c r="E3" s="54" t="s">
        <v>11</v>
      </c>
      <c r="F3" s="54" t="s">
        <v>12</v>
      </c>
      <c r="G3" s="17"/>
    </row>
    <row r="4" spans="1:7" x14ac:dyDescent="0.15">
      <c r="A4" s="53" t="s">
        <v>67</v>
      </c>
      <c r="B4" s="91"/>
      <c r="C4" s="91"/>
      <c r="D4" s="91"/>
      <c r="E4" s="92"/>
      <c r="F4" s="92"/>
      <c r="G4" s="93"/>
    </row>
    <row r="5" spans="1:7" x14ac:dyDescent="0.15">
      <c r="A5" s="10" t="s">
        <v>36</v>
      </c>
      <c r="B5" s="118">
        <v>430000</v>
      </c>
      <c r="C5" s="118">
        <f>ROUND(115%*B5,0)</f>
        <v>494500</v>
      </c>
      <c r="D5" s="118">
        <f t="shared" ref="D5:F5" si="0">ROUND(115%*C5,0)</f>
        <v>568675</v>
      </c>
      <c r="E5" s="118">
        <f t="shared" si="0"/>
        <v>653976</v>
      </c>
      <c r="F5" s="118">
        <f t="shared" si="0"/>
        <v>752072</v>
      </c>
      <c r="G5" s="93"/>
    </row>
    <row r="6" spans="1:7" x14ac:dyDescent="0.15">
      <c r="A6" s="10" t="s">
        <v>37</v>
      </c>
      <c r="B6" s="118">
        <v>670000</v>
      </c>
      <c r="C6" s="118">
        <f t="shared" ref="C6:F8" si="1">ROUND(115%*B6,0)</f>
        <v>770500</v>
      </c>
      <c r="D6" s="118">
        <f t="shared" si="1"/>
        <v>886075</v>
      </c>
      <c r="E6" s="118">
        <f t="shared" si="1"/>
        <v>1018986</v>
      </c>
      <c r="F6" s="118">
        <f t="shared" si="1"/>
        <v>1171834</v>
      </c>
      <c r="G6" s="93"/>
    </row>
    <row r="7" spans="1:7" x14ac:dyDescent="0.15">
      <c r="A7" s="10" t="s">
        <v>38</v>
      </c>
      <c r="B7" s="118">
        <v>670000</v>
      </c>
      <c r="C7" s="118">
        <f t="shared" si="1"/>
        <v>770500</v>
      </c>
      <c r="D7" s="118">
        <f t="shared" si="1"/>
        <v>886075</v>
      </c>
      <c r="E7" s="118">
        <f t="shared" si="1"/>
        <v>1018986</v>
      </c>
      <c r="F7" s="118">
        <f t="shared" si="1"/>
        <v>1171834</v>
      </c>
      <c r="G7" s="93"/>
    </row>
    <row r="8" spans="1:7" x14ac:dyDescent="0.15">
      <c r="A8" s="10" t="s">
        <v>39</v>
      </c>
      <c r="B8" s="118">
        <v>1380000</v>
      </c>
      <c r="C8" s="118">
        <f t="shared" si="1"/>
        <v>1587000</v>
      </c>
      <c r="D8" s="118">
        <f t="shared" si="1"/>
        <v>1825050</v>
      </c>
      <c r="E8" s="118">
        <f t="shared" si="1"/>
        <v>2098808</v>
      </c>
      <c r="F8" s="118">
        <f t="shared" si="1"/>
        <v>2413629</v>
      </c>
      <c r="G8" s="93"/>
    </row>
    <row r="9" spans="1:7" x14ac:dyDescent="0.15">
      <c r="A9" s="53" t="s">
        <v>66</v>
      </c>
      <c r="B9" s="95">
        <f>SUM(B5:B8)</f>
        <v>3150000</v>
      </c>
      <c r="C9" s="95">
        <f>SUM(C5:C8)</f>
        <v>3622500</v>
      </c>
      <c r="D9" s="95">
        <f t="shared" ref="D9:F9" si="2">SUM(D5:D8)</f>
        <v>4165875</v>
      </c>
      <c r="E9" s="95">
        <f t="shared" si="2"/>
        <v>4790756</v>
      </c>
      <c r="F9" s="95">
        <f t="shared" si="2"/>
        <v>5509369</v>
      </c>
      <c r="G9" s="93"/>
    </row>
    <row r="10" spans="1:7" x14ac:dyDescent="0.15">
      <c r="A10" s="53" t="s">
        <v>68</v>
      </c>
      <c r="B10" s="96"/>
      <c r="C10" s="96"/>
      <c r="D10" s="96"/>
      <c r="E10" s="96"/>
      <c r="F10" s="96"/>
      <c r="G10" s="93"/>
    </row>
    <row r="11" spans="1:7" x14ac:dyDescent="0.15">
      <c r="A11" s="12" t="s">
        <v>36</v>
      </c>
      <c r="B11" s="119">
        <v>143340</v>
      </c>
      <c r="C11" s="119">
        <f>ROUND(115%*B11,0)</f>
        <v>164841</v>
      </c>
      <c r="D11" s="119">
        <f>ROUND(115%*C11,0)</f>
        <v>189567</v>
      </c>
      <c r="E11" s="119">
        <f t="shared" ref="E11:F11" si="3">ROUND(115%*D11,0)</f>
        <v>218002</v>
      </c>
      <c r="F11" s="119">
        <f t="shared" si="3"/>
        <v>250702</v>
      </c>
      <c r="G11" s="93"/>
    </row>
    <row r="12" spans="1:7" x14ac:dyDescent="0.15">
      <c r="A12" s="12" t="s">
        <v>37</v>
      </c>
      <c r="B12" s="119">
        <v>223300</v>
      </c>
      <c r="C12" s="119">
        <f t="shared" ref="C12:F14" si="4">ROUND(115%*B12,0)</f>
        <v>256795</v>
      </c>
      <c r="D12" s="119">
        <f t="shared" si="4"/>
        <v>295314</v>
      </c>
      <c r="E12" s="119">
        <f t="shared" si="4"/>
        <v>339611</v>
      </c>
      <c r="F12" s="119">
        <f t="shared" si="4"/>
        <v>390553</v>
      </c>
      <c r="G12" s="93"/>
    </row>
    <row r="13" spans="1:7" x14ac:dyDescent="0.15">
      <c r="A13" s="12" t="s">
        <v>38</v>
      </c>
      <c r="B13" s="119">
        <v>223300</v>
      </c>
      <c r="C13" s="119">
        <f t="shared" si="4"/>
        <v>256795</v>
      </c>
      <c r="D13" s="119">
        <f t="shared" si="4"/>
        <v>295314</v>
      </c>
      <c r="E13" s="119">
        <f t="shared" si="4"/>
        <v>339611</v>
      </c>
      <c r="F13" s="119">
        <f t="shared" si="4"/>
        <v>390553</v>
      </c>
      <c r="G13" s="93"/>
    </row>
    <row r="14" spans="1:7" x14ac:dyDescent="0.15">
      <c r="A14" s="12" t="s">
        <v>39</v>
      </c>
      <c r="B14" s="119">
        <v>460000</v>
      </c>
      <c r="C14" s="119">
        <f t="shared" si="4"/>
        <v>529000</v>
      </c>
      <c r="D14" s="119">
        <f t="shared" si="4"/>
        <v>608350</v>
      </c>
      <c r="E14" s="119">
        <f t="shared" si="4"/>
        <v>699603</v>
      </c>
      <c r="F14" s="119">
        <f t="shared" si="4"/>
        <v>804543</v>
      </c>
      <c r="G14" s="93"/>
    </row>
    <row r="15" spans="1:7" x14ac:dyDescent="0.15">
      <c r="A15" s="55" t="s">
        <v>66</v>
      </c>
      <c r="B15" s="95">
        <f>SUM(B11:B14)</f>
        <v>1049940</v>
      </c>
      <c r="C15" s="95">
        <f t="shared" ref="C15:F15" si="5">SUM(C11:C14)</f>
        <v>1207431</v>
      </c>
      <c r="D15" s="95">
        <f t="shared" si="5"/>
        <v>1388545</v>
      </c>
      <c r="E15" s="95">
        <f t="shared" si="5"/>
        <v>1596827</v>
      </c>
      <c r="F15" s="95">
        <f t="shared" si="5"/>
        <v>1836351</v>
      </c>
      <c r="G15" s="93"/>
    </row>
    <row r="16" spans="1:7" ht="15" thickBot="1" x14ac:dyDescent="0.2">
      <c r="A16" s="13" t="s">
        <v>113</v>
      </c>
      <c r="B16" s="97">
        <f>B9+B15</f>
        <v>4199940</v>
      </c>
      <c r="C16" s="97">
        <f t="shared" ref="C16:F16" si="6">C9+C15</f>
        <v>4829931</v>
      </c>
      <c r="D16" s="97">
        <f t="shared" si="6"/>
        <v>5554420</v>
      </c>
      <c r="E16" s="97">
        <f t="shared" si="6"/>
        <v>6387583</v>
      </c>
      <c r="F16" s="97">
        <f t="shared" si="6"/>
        <v>7345720</v>
      </c>
      <c r="G16" s="93"/>
    </row>
    <row r="17" spans="1:7" ht="15" thickTop="1" x14ac:dyDescent="0.15">
      <c r="A17" s="13"/>
      <c r="B17" s="96"/>
      <c r="C17" s="96"/>
      <c r="D17" s="96"/>
      <c r="E17" s="96"/>
      <c r="F17" s="96"/>
      <c r="G17" s="93"/>
    </row>
    <row r="18" spans="1:7" ht="15" x14ac:dyDescent="0.2">
      <c r="A18"/>
      <c r="B18" s="2">
        <v>1</v>
      </c>
      <c r="C18" s="2">
        <v>2</v>
      </c>
      <c r="D18" s="2">
        <v>3</v>
      </c>
      <c r="E18" s="2">
        <v>4</v>
      </c>
      <c r="F18" s="2" t="s">
        <v>114</v>
      </c>
      <c r="G18"/>
    </row>
    <row r="19" spans="1:7" ht="15" x14ac:dyDescent="0.2">
      <c r="A19" t="s">
        <v>115</v>
      </c>
      <c r="B19" s="120">
        <v>50000</v>
      </c>
      <c r="C19" s="120">
        <v>100000</v>
      </c>
      <c r="D19" s="120">
        <v>100000</v>
      </c>
      <c r="E19" s="120">
        <v>250000</v>
      </c>
      <c r="F19" s="120">
        <f>SUM(B19:E19)</f>
        <v>500000</v>
      </c>
      <c r="G19"/>
    </row>
    <row r="20" spans="1:7" ht="15" x14ac:dyDescent="0.2">
      <c r="A20" t="s">
        <v>116</v>
      </c>
      <c r="B20" s="120">
        <v>300000</v>
      </c>
      <c r="C20" s="120">
        <v>400000</v>
      </c>
      <c r="D20" s="120">
        <v>400000</v>
      </c>
      <c r="E20" s="120">
        <v>900000</v>
      </c>
      <c r="F20" s="120">
        <f t="shared" ref="F20:F23" si="7">SUM(B20:E20)</f>
        <v>2000000</v>
      </c>
      <c r="G20"/>
    </row>
    <row r="21" spans="1:7" ht="15" x14ac:dyDescent="0.2">
      <c r="A21" t="s">
        <v>117</v>
      </c>
      <c r="B21" s="120">
        <v>40000</v>
      </c>
      <c r="C21" s="120">
        <v>80000</v>
      </c>
      <c r="D21" s="120">
        <v>80000</v>
      </c>
      <c r="E21" s="120">
        <v>100000</v>
      </c>
      <c r="F21" s="120">
        <f t="shared" si="7"/>
        <v>300000</v>
      </c>
      <c r="G21"/>
    </row>
    <row r="22" spans="1:7" ht="15" x14ac:dyDescent="0.2">
      <c r="A22" t="s">
        <v>118</v>
      </c>
      <c r="B22" s="120">
        <v>20000</v>
      </c>
      <c r="C22" s="120">
        <v>50000</v>
      </c>
      <c r="D22" s="120">
        <v>50000</v>
      </c>
      <c r="E22" s="120">
        <v>80000</v>
      </c>
      <c r="F22" s="120">
        <f t="shared" si="7"/>
        <v>200000</v>
      </c>
      <c r="G22"/>
    </row>
    <row r="23" spans="1:7" ht="15" x14ac:dyDescent="0.2">
      <c r="A23" t="s">
        <v>119</v>
      </c>
      <c r="B23" s="120">
        <v>20000</v>
      </c>
      <c r="C23" s="120">
        <v>40000</v>
      </c>
      <c r="D23" s="120">
        <v>40000</v>
      </c>
      <c r="E23" s="120">
        <v>50000</v>
      </c>
      <c r="F23" s="120">
        <f t="shared" si="7"/>
        <v>150000</v>
      </c>
      <c r="G23"/>
    </row>
    <row r="24" spans="1:7" ht="15" x14ac:dyDescent="0.2">
      <c r="A24" s="2" t="s">
        <v>114</v>
      </c>
      <c r="B24" s="121">
        <f>SUM(B19:B20,B21,B22,B23)</f>
        <v>430000</v>
      </c>
      <c r="C24" s="121">
        <f t="shared" ref="C24:F24" si="8">SUM(C19:C20,C21,C22,C23)</f>
        <v>670000</v>
      </c>
      <c r="D24" s="121">
        <f t="shared" si="8"/>
        <v>670000</v>
      </c>
      <c r="E24" s="121">
        <f t="shared" si="8"/>
        <v>1380000</v>
      </c>
      <c r="F24" s="121">
        <f t="shared" si="8"/>
        <v>3150000</v>
      </c>
      <c r="G2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5"/>
  <sheetViews>
    <sheetView topLeftCell="A13" zoomScale="142" workbookViewId="0">
      <selection activeCell="B29" sqref="B29"/>
    </sheetView>
  </sheetViews>
  <sheetFormatPr baseColWidth="10" defaultColWidth="8.83203125" defaultRowHeight="15" x14ac:dyDescent="0.2"/>
  <cols>
    <col min="1" max="1" width="26.5" style="3" customWidth="1"/>
    <col min="2" max="2" width="15.83203125" customWidth="1"/>
    <col min="3" max="3" width="15.5" customWidth="1"/>
    <col min="4" max="4" width="16.1640625" customWidth="1"/>
    <col min="5" max="5" width="17.5" customWidth="1"/>
    <col min="6" max="6" width="16.1640625" customWidth="1"/>
  </cols>
  <sheetData>
    <row r="1" spans="1:7" s="2" customFormat="1" ht="16" x14ac:dyDescent="0.2">
      <c r="A1" s="8" t="s">
        <v>96</v>
      </c>
      <c r="B1" s="9"/>
      <c r="C1" s="9"/>
      <c r="D1" s="9"/>
      <c r="E1" s="9"/>
      <c r="F1" s="9"/>
    </row>
    <row r="2" spans="1:7" s="2" customFormat="1" ht="16" x14ac:dyDescent="0.2">
      <c r="A2" s="8"/>
      <c r="B2" s="9"/>
      <c r="C2" s="9"/>
      <c r="D2" s="9"/>
      <c r="E2" s="9"/>
      <c r="F2" s="9"/>
    </row>
    <row r="3" spans="1:7" ht="16" x14ac:dyDescent="0.2">
      <c r="A3" s="18" t="s">
        <v>7</v>
      </c>
      <c r="B3" s="19" t="s">
        <v>8</v>
      </c>
      <c r="C3" s="19" t="s">
        <v>9</v>
      </c>
      <c r="D3" s="19" t="s">
        <v>10</v>
      </c>
      <c r="E3" s="19" t="s">
        <v>11</v>
      </c>
      <c r="F3" s="19" t="s">
        <v>12</v>
      </c>
      <c r="G3" s="11"/>
    </row>
    <row r="4" spans="1:7" ht="16" x14ac:dyDescent="0.2">
      <c r="A4" s="9" t="s">
        <v>40</v>
      </c>
      <c r="B4" s="94">
        <f>'Revenue Forecast'!B16</f>
        <v>4199940</v>
      </c>
      <c r="C4" s="94">
        <f>'Revenue Forecast'!C16</f>
        <v>4829931</v>
      </c>
      <c r="D4" s="94">
        <f>'Revenue Forecast'!D16</f>
        <v>5554420</v>
      </c>
      <c r="E4" s="94">
        <f>'Revenue Forecast'!E16</f>
        <v>6387583</v>
      </c>
      <c r="F4" s="94">
        <f>'Revenue Forecast'!F16</f>
        <v>7345720</v>
      </c>
      <c r="G4" s="11"/>
    </row>
    <row r="5" spans="1:7" ht="16" x14ac:dyDescent="0.2">
      <c r="A5" s="9" t="s">
        <v>17</v>
      </c>
      <c r="B5" s="98">
        <f>ROUND(B4*19%,0)</f>
        <v>797989</v>
      </c>
      <c r="C5" s="98">
        <f>ROUND(C4*19%,0)</f>
        <v>917687</v>
      </c>
      <c r="D5" s="98">
        <f>ROUND(D4*19%,0)</f>
        <v>1055340</v>
      </c>
      <c r="E5" s="98">
        <f>ROUND(E4*19%,0)</f>
        <v>1213641</v>
      </c>
      <c r="F5" s="98">
        <f>ROUND(F4*19%,0)</f>
        <v>1395687</v>
      </c>
      <c r="G5" s="11"/>
    </row>
    <row r="6" spans="1:7" ht="16" x14ac:dyDescent="0.2">
      <c r="A6" s="18" t="s">
        <v>18</v>
      </c>
      <c r="B6" s="96">
        <f>B4-B5</f>
        <v>3401951</v>
      </c>
      <c r="C6" s="96">
        <f>C4-C5</f>
        <v>3912244</v>
      </c>
      <c r="D6" s="96">
        <f>D4-D5</f>
        <v>4499080</v>
      </c>
      <c r="E6" s="96">
        <f>E4-E5</f>
        <v>5173942</v>
      </c>
      <c r="F6" s="96">
        <f>F4-F5</f>
        <v>5950033</v>
      </c>
      <c r="G6" s="11"/>
    </row>
    <row r="7" spans="1:7" ht="17" thickBot="1" x14ac:dyDescent="0.25">
      <c r="A7" s="18" t="s">
        <v>97</v>
      </c>
      <c r="B7" s="96">
        <f>SUM(B8:B23)</f>
        <v>4015590</v>
      </c>
      <c r="C7" s="96">
        <f>SUM(C8:C23)</f>
        <v>3304440</v>
      </c>
      <c r="D7" s="96">
        <f>SUM(D8:D23)</f>
        <v>3195876</v>
      </c>
      <c r="E7" s="96">
        <f>SUM(E8:E23)</f>
        <v>3344487</v>
      </c>
      <c r="F7" s="96">
        <f>SUM(F8:F23)</f>
        <v>3761765</v>
      </c>
      <c r="G7" s="11"/>
    </row>
    <row r="8" spans="1:7" ht="16" x14ac:dyDescent="0.2">
      <c r="A8" s="20" t="s">
        <v>41</v>
      </c>
      <c r="B8" s="99">
        <f>'5 Year cash flow projections'!B11</f>
        <v>14400</v>
      </c>
      <c r="C8" s="100">
        <f>'5 Year cash flow projections'!C11</f>
        <v>14400</v>
      </c>
      <c r="D8" s="100">
        <f>'5 Year cash flow projections'!D11</f>
        <v>14400</v>
      </c>
      <c r="E8" s="100">
        <f>'5 Year cash flow projections'!E11</f>
        <v>14400</v>
      </c>
      <c r="F8" s="101">
        <f>'5 Year cash flow projections'!F11</f>
        <v>14400</v>
      </c>
      <c r="G8" s="11"/>
    </row>
    <row r="9" spans="1:7" ht="16" x14ac:dyDescent="0.2">
      <c r="A9" s="20" t="s">
        <v>55</v>
      </c>
      <c r="B9" s="102">
        <f>'5 Year cash flow projections'!B12</f>
        <v>180000</v>
      </c>
      <c r="C9" s="103">
        <f>'5 Year cash flow projections'!C12</f>
        <v>180000</v>
      </c>
      <c r="D9" s="103">
        <f>'5 Year cash flow projections'!D12</f>
        <v>180000</v>
      </c>
      <c r="E9" s="103">
        <f>'5 Year cash flow projections'!E12</f>
        <v>180000</v>
      </c>
      <c r="F9" s="104">
        <f>'5 Year cash flow projections'!F12</f>
        <v>180000</v>
      </c>
      <c r="G9" s="11"/>
    </row>
    <row r="10" spans="1:7" ht="16" x14ac:dyDescent="0.2">
      <c r="A10" s="20" t="s">
        <v>54</v>
      </c>
      <c r="B10" s="102">
        <f>'5 Year cash flow projections'!B13</f>
        <v>69000</v>
      </c>
      <c r="C10" s="103">
        <v>103500</v>
      </c>
      <c r="D10" s="103">
        <v>103500</v>
      </c>
      <c r="E10" s="103">
        <v>112330</v>
      </c>
      <c r="F10" s="104">
        <v>112330</v>
      </c>
      <c r="G10" s="11"/>
    </row>
    <row r="11" spans="1:7" ht="16" x14ac:dyDescent="0.2">
      <c r="A11" s="20" t="s">
        <v>51</v>
      </c>
      <c r="B11" s="102">
        <f>'5 Year cash flow projections'!B14</f>
        <v>1990800</v>
      </c>
      <c r="C11" s="102">
        <f>'5 Year cash flow projections'!C14</f>
        <v>900000</v>
      </c>
      <c r="D11" s="102">
        <f>'5 Year cash flow projections'!D14</f>
        <v>900000</v>
      </c>
      <c r="E11" s="102">
        <f>'5 Year cash flow projections'!E14</f>
        <v>900000</v>
      </c>
      <c r="F11" s="105">
        <f>'5 Year cash flow projections'!F14</f>
        <v>1000000</v>
      </c>
      <c r="G11" s="11"/>
    </row>
    <row r="12" spans="1:7" ht="16" x14ac:dyDescent="0.2">
      <c r="A12" s="122" t="s">
        <v>56</v>
      </c>
      <c r="B12" s="102">
        <f>'5 Year cash flow projections'!B16</f>
        <v>243990</v>
      </c>
      <c r="C12" s="102">
        <f>'5 Year cash flow projections'!C16</f>
        <v>229780</v>
      </c>
      <c r="D12" s="102">
        <f>'5 Year cash flow projections'!D16</f>
        <v>213688</v>
      </c>
      <c r="E12" s="102">
        <f>'5 Year cash flow projections'!E16</f>
        <v>195466</v>
      </c>
      <c r="F12" s="105">
        <f>'5 Year cash flow projections'!F16</f>
        <v>174831</v>
      </c>
      <c r="G12" s="11"/>
    </row>
    <row r="13" spans="1:7" ht="16" x14ac:dyDescent="0.2">
      <c r="A13" s="20" t="s">
        <v>63</v>
      </c>
      <c r="B13" s="102">
        <f>'5 Year cash flow projections'!B17</f>
        <v>468000</v>
      </c>
      <c r="C13" s="102">
        <f>'5 Year cash flow projections'!C17</f>
        <v>800000</v>
      </c>
      <c r="D13" s="102">
        <f>'5 Year cash flow projections'!D17</f>
        <v>800000</v>
      </c>
      <c r="E13" s="102">
        <f>'5 Year cash flow projections'!E17</f>
        <v>933300</v>
      </c>
      <c r="F13" s="105">
        <f>'5 Year cash flow projections'!F17</f>
        <v>1030000</v>
      </c>
      <c r="G13" s="11"/>
    </row>
    <row r="14" spans="1:7" ht="16" x14ac:dyDescent="0.2">
      <c r="A14" s="20" t="s">
        <v>105</v>
      </c>
      <c r="B14" s="102">
        <f>'5 Year cash flow projections'!B17</f>
        <v>468000</v>
      </c>
      <c r="C14" s="103">
        <v>470000</v>
      </c>
      <c r="D14" s="103">
        <v>470000</v>
      </c>
      <c r="E14" s="103">
        <v>470000</v>
      </c>
      <c r="F14" s="104">
        <v>470000</v>
      </c>
      <c r="G14" s="11"/>
    </row>
    <row r="15" spans="1:7" ht="16" x14ac:dyDescent="0.2">
      <c r="A15" s="20" t="s">
        <v>42</v>
      </c>
      <c r="B15" s="102">
        <f>'5 Year cash flow projections'!B19</f>
        <v>45000</v>
      </c>
      <c r="C15" s="102">
        <f>'5 Year cash flow projections'!C19</f>
        <v>46350</v>
      </c>
      <c r="D15" s="102">
        <f>'5 Year cash flow projections'!D19</f>
        <v>50058</v>
      </c>
      <c r="E15" s="102">
        <f>'5 Year cash flow projections'!E19</f>
        <v>52561</v>
      </c>
      <c r="F15" s="105">
        <f>'5 Year cash flow projections'!F19</f>
        <v>58000</v>
      </c>
      <c r="G15" s="11"/>
    </row>
    <row r="16" spans="1:7" ht="16" x14ac:dyDescent="0.2">
      <c r="A16" s="20" t="s">
        <v>43</v>
      </c>
      <c r="B16" s="102">
        <f>'5 Year cash flow projections'!B20</f>
        <v>15000</v>
      </c>
      <c r="C16" s="102">
        <f>'5 Year cash flow projections'!C20</f>
        <v>15000</v>
      </c>
      <c r="D16" s="102">
        <f>'5 Year cash flow projections'!D20</f>
        <v>20000</v>
      </c>
      <c r="E16" s="102">
        <f>'5 Year cash flow projections'!E20</f>
        <v>20400</v>
      </c>
      <c r="F16" s="105">
        <f>'5 Year cash flow projections'!F20</f>
        <v>21216</v>
      </c>
      <c r="G16" s="11"/>
    </row>
    <row r="17" spans="1:7" ht="16" x14ac:dyDescent="0.2">
      <c r="A17" s="20" t="s">
        <v>53</v>
      </c>
      <c r="B17" s="102">
        <f>'5 Year cash flow projections'!B21</f>
        <v>180000</v>
      </c>
      <c r="C17" s="102">
        <f>'5 Year cash flow projections'!C21</f>
        <v>198000</v>
      </c>
      <c r="D17" s="102">
        <f>'5 Year cash flow projections'!D21</f>
        <v>217800</v>
      </c>
      <c r="E17" s="102">
        <f>'5 Year cash flow projections'!E21</f>
        <v>239580</v>
      </c>
      <c r="F17" s="105">
        <f>'5 Year cash flow projections'!F21</f>
        <v>263538</v>
      </c>
      <c r="G17" s="11"/>
    </row>
    <row r="18" spans="1:7" ht="16" x14ac:dyDescent="0.2">
      <c r="A18" s="20" t="s">
        <v>45</v>
      </c>
      <c r="B18" s="102">
        <f>'5 Year cash flow projections'!B22</f>
        <v>1500</v>
      </c>
      <c r="C18" s="102">
        <f>'5 Year cash flow projections'!C22</f>
        <v>1500</v>
      </c>
      <c r="D18" s="102">
        <f>'5 Year cash flow projections'!D22</f>
        <v>1500</v>
      </c>
      <c r="E18" s="102">
        <f>'5 Year cash flow projections'!E22</f>
        <v>1500</v>
      </c>
      <c r="F18" s="105">
        <f>'5 Year cash flow projections'!F22</f>
        <v>1500</v>
      </c>
      <c r="G18" s="11"/>
    </row>
    <row r="19" spans="1:7" ht="16" x14ac:dyDescent="0.2">
      <c r="A19" s="20" t="s">
        <v>46</v>
      </c>
      <c r="B19" s="102">
        <f>'5 Year cash flow projections'!B23</f>
        <v>18000</v>
      </c>
      <c r="C19" s="102">
        <f>'5 Year cash flow projections'!C23</f>
        <v>18000</v>
      </c>
      <c r="D19" s="102">
        <f>'5 Year cash flow projections'!D23</f>
        <v>20000</v>
      </c>
      <c r="E19" s="102">
        <f>'5 Year cash flow projections'!E23</f>
        <v>20000</v>
      </c>
      <c r="F19" s="105">
        <f>'5 Year cash flow projections'!F23</f>
        <v>22000</v>
      </c>
      <c r="G19" s="11"/>
    </row>
    <row r="20" spans="1:7" ht="16" x14ac:dyDescent="0.2">
      <c r="A20" s="20" t="s">
        <v>44</v>
      </c>
      <c r="B20" s="102">
        <f>'5 Year cash flow projections'!B24</f>
        <v>300</v>
      </c>
      <c r="C20" s="102">
        <f>'5 Year cash flow projections'!C24</f>
        <v>310</v>
      </c>
      <c r="D20" s="102">
        <f>'5 Year cash flow projections'!D24</f>
        <v>330</v>
      </c>
      <c r="E20" s="102">
        <f>'5 Year cash flow projections'!E24</f>
        <v>350</v>
      </c>
      <c r="F20" s="105">
        <f>'5 Year cash flow projections'!F24</f>
        <v>350</v>
      </c>
      <c r="G20" s="11"/>
    </row>
    <row r="21" spans="1:7" ht="16" x14ac:dyDescent="0.2">
      <c r="A21" s="20" t="s">
        <v>50</v>
      </c>
      <c r="B21" s="102">
        <f>'5 Year cash flow projections'!B25</f>
        <v>12000</v>
      </c>
      <c r="C21" s="102">
        <f>'5 Year cash flow projections'!C25</f>
        <v>12000</v>
      </c>
      <c r="D21" s="102">
        <f>'5 Year cash flow projections'!D25</f>
        <v>15000</v>
      </c>
      <c r="E21" s="102">
        <f>'5 Year cash flow projections'!E25</f>
        <v>15000</v>
      </c>
      <c r="F21" s="105">
        <f>'5 Year cash flow projections'!F25</f>
        <v>18000</v>
      </c>
      <c r="G21" s="11"/>
    </row>
    <row r="22" spans="1:7" ht="16" x14ac:dyDescent="0.2">
      <c r="A22" s="20" t="s">
        <v>101</v>
      </c>
      <c r="B22" s="102">
        <f>'5 Year cash flow projections'!B26</f>
        <v>120000</v>
      </c>
      <c r="C22" s="102">
        <f>'5 Year cash flow projections'!C26</f>
        <v>126000</v>
      </c>
      <c r="D22" s="102">
        <f>'5 Year cash flow projections'!D26</f>
        <v>0</v>
      </c>
      <c r="E22" s="102">
        <f>'5 Year cash flow projections'!E26</f>
        <v>0</v>
      </c>
      <c r="F22" s="105">
        <f>'5 Year cash flow projections'!F26</f>
        <v>0</v>
      </c>
      <c r="G22" s="11"/>
    </row>
    <row r="23" spans="1:7" ht="17" thickBot="1" x14ac:dyDescent="0.25">
      <c r="A23" s="20" t="s">
        <v>52</v>
      </c>
      <c r="B23" s="106">
        <v>189600</v>
      </c>
      <c r="C23" s="106">
        <v>189600</v>
      </c>
      <c r="D23" s="106">
        <v>189600</v>
      </c>
      <c r="E23" s="106">
        <v>189600</v>
      </c>
      <c r="F23" s="107">
        <v>395600</v>
      </c>
      <c r="G23" s="11"/>
    </row>
    <row r="24" spans="1:7" ht="16" x14ac:dyDescent="0.2">
      <c r="A24" s="21" t="s">
        <v>27</v>
      </c>
      <c r="B24" s="96">
        <f>B6-B7</f>
        <v>-613639</v>
      </c>
      <c r="C24" s="96">
        <f>C6-C7</f>
        <v>607804</v>
      </c>
      <c r="D24" s="96">
        <f>D6-D7</f>
        <v>1303204</v>
      </c>
      <c r="E24" s="96">
        <f>E6-E7</f>
        <v>1829455</v>
      </c>
      <c r="F24" s="96">
        <f>F6-F7</f>
        <v>2188268</v>
      </c>
      <c r="G24" s="11"/>
    </row>
    <row r="25" spans="1:7" ht="16" x14ac:dyDescent="0.2">
      <c r="A25" s="20" t="s">
        <v>48</v>
      </c>
      <c r="B25" s="98">
        <f>ROUND((B24+B23)*28%,0)</f>
        <v>-118731</v>
      </c>
      <c r="C25" s="98">
        <f>ROUND((C24+C23)*28%,0)</f>
        <v>223273</v>
      </c>
      <c r="D25" s="98">
        <f>ROUND((D24+D23)*28%,0)</f>
        <v>417985</v>
      </c>
      <c r="E25" s="98">
        <f>ROUND((E24+E23)*28%,0)</f>
        <v>565335</v>
      </c>
      <c r="F25" s="98">
        <f>ROUND((F24+F23)*28%,0)</f>
        <v>723483</v>
      </c>
      <c r="G25" s="11"/>
    </row>
    <row r="26" spans="1:7" ht="16" x14ac:dyDescent="0.2">
      <c r="A26" s="21" t="s">
        <v>47</v>
      </c>
      <c r="B26" s="96">
        <f>B24-B25</f>
        <v>-494908</v>
      </c>
      <c r="C26" s="96">
        <f t="shared" ref="C26:E26" si="0">C24-C25</f>
        <v>384531</v>
      </c>
      <c r="D26" s="96">
        <f t="shared" si="0"/>
        <v>885219</v>
      </c>
      <c r="E26" s="96">
        <f t="shared" si="0"/>
        <v>1264120</v>
      </c>
      <c r="F26" s="96">
        <f>F24-F25</f>
        <v>1464785</v>
      </c>
      <c r="G26" s="11"/>
    </row>
    <row r="27" spans="1:7" x14ac:dyDescent="0.2">
      <c r="A27" s="22" t="s">
        <v>94</v>
      </c>
      <c r="B27" s="93">
        <v>0</v>
      </c>
      <c r="C27" s="93">
        <v>0</v>
      </c>
      <c r="D27" s="93">
        <v>0</v>
      </c>
      <c r="E27" s="93">
        <v>0</v>
      </c>
      <c r="F27" s="93">
        <v>0</v>
      </c>
    </row>
    <row r="28" spans="1:7" ht="16" thickBot="1" x14ac:dyDescent="0.25">
      <c r="A28" s="23" t="s">
        <v>93</v>
      </c>
      <c r="B28" s="97">
        <v>0</v>
      </c>
      <c r="C28" s="97">
        <f>C26-C27</f>
        <v>384531</v>
      </c>
      <c r="D28" s="97">
        <f>D26-D27</f>
        <v>885219</v>
      </c>
      <c r="E28" s="97">
        <f>E26-E27</f>
        <v>1264120</v>
      </c>
      <c r="F28" s="97">
        <f>F26-F27</f>
        <v>1464785</v>
      </c>
    </row>
    <row r="29" spans="1:7" ht="16" thickTop="1" x14ac:dyDescent="0.2">
      <c r="A29" s="24"/>
      <c r="B29" s="93"/>
      <c r="C29" s="93"/>
      <c r="D29" s="93"/>
      <c r="E29" s="93"/>
      <c r="F29" s="93"/>
    </row>
    <row r="30" spans="1:7" x14ac:dyDescent="0.2">
      <c r="B30" s="108"/>
      <c r="C30" s="108"/>
      <c r="D30" s="108"/>
      <c r="E30" s="108"/>
      <c r="F30" s="108"/>
    </row>
    <row r="31" spans="1:7" x14ac:dyDescent="0.2">
      <c r="A31" s="2" t="s">
        <v>57</v>
      </c>
    </row>
    <row r="32" spans="1:7" x14ac:dyDescent="0.2">
      <c r="A32" s="3" t="s">
        <v>106</v>
      </c>
    </row>
    <row r="33" spans="1:1" x14ac:dyDescent="0.2">
      <c r="A33" s="3" t="s">
        <v>49</v>
      </c>
    </row>
    <row r="34" spans="1:1" x14ac:dyDescent="0.2">
      <c r="A34" s="3" t="s">
        <v>122</v>
      </c>
    </row>
    <row r="35" spans="1:1" x14ac:dyDescent="0.2">
      <c r="A35" s="3" t="s">
        <v>99</v>
      </c>
    </row>
  </sheetData>
  <pageMargins left="0.7" right="0.7" top="0.75" bottom="0.75" header="0.3" footer="0.3"/>
  <pageSetup orientation="landscape" horizont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4"/>
  <sheetViews>
    <sheetView tabSelected="1" topLeftCell="A23" zoomScale="164" workbookViewId="0">
      <selection activeCell="B32" sqref="B32:G32"/>
    </sheetView>
  </sheetViews>
  <sheetFormatPr baseColWidth="10" defaultColWidth="8.83203125" defaultRowHeight="16" x14ac:dyDescent="0.2"/>
  <cols>
    <col min="1" max="1" width="27" style="7" customWidth="1"/>
    <col min="2" max="2" width="15" style="7" customWidth="1"/>
    <col min="3" max="3" width="15.5" style="7" customWidth="1"/>
    <col min="4" max="4" width="17" style="7" customWidth="1"/>
    <col min="5" max="5" width="15.33203125" style="7" customWidth="1"/>
    <col min="6" max="6" width="15.6640625" style="7" customWidth="1"/>
    <col min="7" max="7" width="1.6640625" style="7" customWidth="1"/>
    <col min="8" max="16384" width="8.83203125" style="7"/>
  </cols>
  <sheetData>
    <row r="1" spans="1:6" x14ac:dyDescent="0.2">
      <c r="A1" s="8" t="s">
        <v>71</v>
      </c>
      <c r="B1" s="8"/>
      <c r="C1" s="8"/>
    </row>
    <row r="2" spans="1:6" ht="8" customHeight="1" x14ac:dyDescent="0.2"/>
    <row r="3" spans="1:6" x14ac:dyDescent="0.2">
      <c r="A3" s="25"/>
      <c r="B3" s="26" t="s">
        <v>72</v>
      </c>
      <c r="C3" s="26" t="s">
        <v>73</v>
      </c>
      <c r="D3" s="26" t="s">
        <v>74</v>
      </c>
      <c r="E3" s="26" t="s">
        <v>91</v>
      </c>
      <c r="F3" s="26" t="s">
        <v>92</v>
      </c>
    </row>
    <row r="4" spans="1:6" x14ac:dyDescent="0.2">
      <c r="A4" s="27" t="s">
        <v>75</v>
      </c>
      <c r="B4" s="25"/>
      <c r="C4" s="25"/>
      <c r="D4" s="25"/>
      <c r="E4" s="25"/>
      <c r="F4" s="25"/>
    </row>
    <row r="5" spans="1:6" x14ac:dyDescent="0.2">
      <c r="A5" s="27" t="s">
        <v>76</v>
      </c>
      <c r="B5" s="109">
        <f>B6+B7</f>
        <v>948000</v>
      </c>
      <c r="C5" s="109">
        <f>C6+C7</f>
        <v>948000</v>
      </c>
      <c r="D5" s="109">
        <f>D6+D7</f>
        <v>2286910</v>
      </c>
      <c r="E5" s="109">
        <f t="shared" ref="E5:F5" si="0">E6+E7</f>
        <v>3585431</v>
      </c>
      <c r="F5" s="109">
        <f t="shared" si="0"/>
        <v>8639272</v>
      </c>
    </row>
    <row r="6" spans="1:6" x14ac:dyDescent="0.2">
      <c r="A6" s="25" t="s">
        <v>123</v>
      </c>
      <c r="B6" s="128">
        <v>948000</v>
      </c>
      <c r="C6" s="129">
        <v>948000</v>
      </c>
      <c r="D6" s="129">
        <v>948000</v>
      </c>
      <c r="E6" s="129">
        <v>948000</v>
      </c>
      <c r="F6" s="130">
        <v>978000</v>
      </c>
    </row>
    <row r="7" spans="1:6" x14ac:dyDescent="0.2">
      <c r="A7" s="25" t="s">
        <v>124</v>
      </c>
      <c r="B7" s="131">
        <v>0</v>
      </c>
      <c r="C7" s="98">
        <v>0</v>
      </c>
      <c r="D7" s="98">
        <v>1338910</v>
      </c>
      <c r="E7" s="98">
        <v>2637431</v>
      </c>
      <c r="F7" s="132">
        <v>7661272</v>
      </c>
    </row>
    <row r="8" spans="1:6" ht="4" customHeight="1" x14ac:dyDescent="0.2">
      <c r="A8" s="25"/>
      <c r="B8" s="93"/>
      <c r="C8" s="93"/>
      <c r="D8" s="93"/>
      <c r="E8" s="93"/>
      <c r="F8" s="93"/>
    </row>
    <row r="9" spans="1:6" x14ac:dyDescent="0.2">
      <c r="A9" s="27" t="s">
        <v>77</v>
      </c>
      <c r="B9" s="110">
        <f>SUM(B10:B12)</f>
        <v>2991722</v>
      </c>
      <c r="C9" s="110">
        <f>SUM(C10:C12)</f>
        <v>3918326</v>
      </c>
      <c r="D9" s="110">
        <f>SUM(D10:D12)</f>
        <v>2177334</v>
      </c>
      <c r="E9" s="110">
        <f t="shared" ref="E9:F9" si="1">SUM(E10:E12)</f>
        <v>2618134</v>
      </c>
      <c r="F9" s="110">
        <f t="shared" si="1"/>
        <v>3222248</v>
      </c>
    </row>
    <row r="10" spans="1:6" x14ac:dyDescent="0.2">
      <c r="A10" s="25" t="s">
        <v>110</v>
      </c>
      <c r="B10" s="111">
        <v>2741726</v>
      </c>
      <c r="C10" s="98">
        <v>3493998</v>
      </c>
      <c r="D10" s="111">
        <f>'Revenue Forecast'!D15</f>
        <v>1388545</v>
      </c>
      <c r="E10" s="111">
        <f>'Revenue Forecast'!E15</f>
        <v>1596827</v>
      </c>
      <c r="F10" s="111">
        <f>'Revenue Forecast'!F15</f>
        <v>1836351</v>
      </c>
    </row>
    <row r="11" spans="1:6" x14ac:dyDescent="0.2">
      <c r="A11" s="25" t="s">
        <v>89</v>
      </c>
      <c r="B11" s="112">
        <f>'5 Year cash flow projections'!B37</f>
        <v>170197</v>
      </c>
      <c r="C11" s="112">
        <f>'5 Year cash flow projections'!C37</f>
        <v>332559</v>
      </c>
      <c r="D11" s="112">
        <f>'5 Year cash flow projections'!D37</f>
        <v>683255</v>
      </c>
      <c r="E11" s="112">
        <f>'5 Year cash flow projections'!E37</f>
        <v>899943</v>
      </c>
      <c r="F11" s="112">
        <f>'5 Year cash flow projections'!F37</f>
        <v>1246328</v>
      </c>
    </row>
    <row r="12" spans="1:6" x14ac:dyDescent="0.2">
      <c r="A12" s="25" t="s">
        <v>78</v>
      </c>
      <c r="B12" s="113">
        <f>ROUND(10%*'5 year income statement'!B5,0)</f>
        <v>79799</v>
      </c>
      <c r="C12" s="113">
        <f>ROUND(10%*'5 year income statement'!C5,0)</f>
        <v>91769</v>
      </c>
      <c r="D12" s="113">
        <f>ROUND(10%*'5 year income statement'!D5,0)</f>
        <v>105534</v>
      </c>
      <c r="E12" s="113">
        <f>ROUND(10%*'5 year income statement'!E5,0)</f>
        <v>121364</v>
      </c>
      <c r="F12" s="113">
        <f>ROUND(10%*'5 year income statement'!F5,0)</f>
        <v>139569</v>
      </c>
    </row>
    <row r="13" spans="1:6" ht="7" customHeight="1" x14ac:dyDescent="0.2">
      <c r="A13" s="25"/>
      <c r="B13" s="94"/>
      <c r="C13" s="94"/>
      <c r="D13" s="94"/>
      <c r="E13" s="94"/>
      <c r="F13" s="94"/>
    </row>
    <row r="14" spans="1:6" ht="17" thickBot="1" x14ac:dyDescent="0.25">
      <c r="A14" s="28" t="s">
        <v>79</v>
      </c>
      <c r="B14" s="114">
        <f>+B5+B9</f>
        <v>3939722</v>
      </c>
      <c r="C14" s="114">
        <f>+C5+C9</f>
        <v>4866326</v>
      </c>
      <c r="D14" s="114">
        <f>+D5+D9</f>
        <v>4464244</v>
      </c>
      <c r="E14" s="114">
        <f>+E5+E9</f>
        <v>6203565</v>
      </c>
      <c r="F14" s="114">
        <f>+F5+F9</f>
        <v>11861520</v>
      </c>
    </row>
    <row r="15" spans="1:6" ht="5" customHeight="1" thickTop="1" x14ac:dyDescent="0.2">
      <c r="A15" s="25"/>
      <c r="B15" s="94"/>
      <c r="C15" s="93"/>
      <c r="D15" s="93"/>
      <c r="E15" s="93"/>
      <c r="F15" s="93"/>
    </row>
    <row r="16" spans="1:6" x14ac:dyDescent="0.2">
      <c r="A16" s="27" t="s">
        <v>90</v>
      </c>
      <c r="B16" s="93"/>
      <c r="C16" s="93"/>
      <c r="D16" s="93"/>
      <c r="E16" s="93"/>
      <c r="F16" s="93"/>
    </row>
    <row r="17" spans="1:6" x14ac:dyDescent="0.2">
      <c r="A17" s="56" t="s">
        <v>95</v>
      </c>
      <c r="B17" s="115">
        <f>+B18+B19</f>
        <v>60000</v>
      </c>
      <c r="C17" s="109">
        <f>+C18+C19</f>
        <v>444531</v>
      </c>
      <c r="D17" s="109">
        <f>+D18+D19</f>
        <v>945219</v>
      </c>
      <c r="E17" s="109">
        <f>+E18+E19</f>
        <v>1324120</v>
      </c>
      <c r="F17" s="109">
        <f>+F18+F19</f>
        <v>1524785</v>
      </c>
    </row>
    <row r="18" spans="1:6" x14ac:dyDescent="0.2">
      <c r="A18" s="25" t="s">
        <v>80</v>
      </c>
      <c r="B18" s="111">
        <v>60000</v>
      </c>
      <c r="C18" s="111">
        <v>60000</v>
      </c>
      <c r="D18" s="111">
        <v>60000</v>
      </c>
      <c r="E18" s="111">
        <v>60000</v>
      </c>
      <c r="F18" s="111">
        <v>60000</v>
      </c>
    </row>
    <row r="19" spans="1:6" x14ac:dyDescent="0.2">
      <c r="A19" s="25" t="s">
        <v>93</v>
      </c>
      <c r="B19" s="113">
        <f>'5 year income statement'!B28</f>
        <v>0</v>
      </c>
      <c r="C19" s="113">
        <f>'5 year income statement'!C28</f>
        <v>384531</v>
      </c>
      <c r="D19" s="113">
        <f>'5 year income statement'!D28</f>
        <v>885219</v>
      </c>
      <c r="E19" s="113">
        <f>'5 year income statement'!E28</f>
        <v>1264120</v>
      </c>
      <c r="F19" s="113">
        <f>'5 year income statement'!F28</f>
        <v>1464785</v>
      </c>
    </row>
    <row r="20" spans="1:6" ht="10" customHeight="1" x14ac:dyDescent="0.2">
      <c r="A20" s="29"/>
      <c r="B20" s="93"/>
      <c r="C20" s="93"/>
      <c r="D20" s="93"/>
      <c r="E20" s="93"/>
      <c r="F20" s="93"/>
    </row>
    <row r="21" spans="1:6" x14ac:dyDescent="0.2">
      <c r="A21" s="27" t="s">
        <v>81</v>
      </c>
      <c r="B21" s="109">
        <f>+B22+B23</f>
        <v>1892687</v>
      </c>
      <c r="C21" s="109">
        <f>+C22+C23</f>
        <v>1771164</v>
      </c>
      <c r="D21" s="109">
        <f>+D22+D23</f>
        <v>1633550</v>
      </c>
      <c r="E21" s="109">
        <f>+E22+E23</f>
        <v>1477713</v>
      </c>
      <c r="F21" s="109">
        <f>+F22+F23</f>
        <v>1301240</v>
      </c>
    </row>
    <row r="22" spans="1:6" x14ac:dyDescent="0.2">
      <c r="A22" s="25" t="s">
        <v>82</v>
      </c>
      <c r="B22" s="111">
        <v>0</v>
      </c>
      <c r="C22" s="111">
        <v>0</v>
      </c>
      <c r="D22" s="111">
        <v>0</v>
      </c>
      <c r="E22" s="111">
        <v>0</v>
      </c>
      <c r="F22" s="111">
        <v>0</v>
      </c>
    </row>
    <row r="23" spans="1:6" x14ac:dyDescent="0.2">
      <c r="A23" s="25" t="s">
        <v>83</v>
      </c>
      <c r="B23" s="113">
        <v>1892687</v>
      </c>
      <c r="C23" s="113">
        <v>1771164</v>
      </c>
      <c r="D23" s="113">
        <v>1633550</v>
      </c>
      <c r="E23" s="113">
        <v>1477713</v>
      </c>
      <c r="F23" s="113">
        <v>1301240</v>
      </c>
    </row>
    <row r="24" spans="1:6" ht="8" customHeight="1" x14ac:dyDescent="0.2">
      <c r="A24" s="25"/>
      <c r="B24" s="93"/>
      <c r="C24" s="93"/>
      <c r="D24" s="93"/>
      <c r="E24" s="93"/>
      <c r="F24" s="93"/>
    </row>
    <row r="25" spans="1:6" x14ac:dyDescent="0.2">
      <c r="A25" s="56" t="s">
        <v>84</v>
      </c>
      <c r="B25" s="109">
        <f>SUM(B26:B29)</f>
        <v>1987035</v>
      </c>
      <c r="C25" s="109">
        <f t="shared" ref="C25:F25" si="2">SUM(C26:C29)</f>
        <v>2650631</v>
      </c>
      <c r="D25" s="109">
        <f t="shared" si="2"/>
        <v>1885475</v>
      </c>
      <c r="E25" s="109">
        <f t="shared" si="2"/>
        <v>3401732</v>
      </c>
      <c r="F25" s="109">
        <f t="shared" si="2"/>
        <v>9035495</v>
      </c>
    </row>
    <row r="26" spans="1:6" x14ac:dyDescent="0.2">
      <c r="A26" s="25" t="s">
        <v>86</v>
      </c>
      <c r="B26" s="111">
        <v>451400</v>
      </c>
      <c r="C26" s="111">
        <v>501025</v>
      </c>
      <c r="D26" s="111">
        <v>1159514</v>
      </c>
      <c r="E26" s="111">
        <v>3050429</v>
      </c>
      <c r="F26" s="111">
        <v>7110722</v>
      </c>
    </row>
    <row r="27" spans="1:6" x14ac:dyDescent="0.2">
      <c r="A27" s="25" t="s">
        <v>87</v>
      </c>
      <c r="B27" s="112">
        <v>107313</v>
      </c>
      <c r="C27" s="112">
        <v>121523</v>
      </c>
      <c r="D27" s="112">
        <v>137614</v>
      </c>
      <c r="E27" s="112">
        <v>155837</v>
      </c>
      <c r="F27" s="112">
        <v>176472</v>
      </c>
    </row>
    <row r="28" spans="1:6" x14ac:dyDescent="0.2">
      <c r="A28" s="29" t="s">
        <v>85</v>
      </c>
      <c r="B28" s="113">
        <v>243990</v>
      </c>
      <c r="C28" s="113">
        <v>229780</v>
      </c>
      <c r="D28" s="113">
        <v>213688</v>
      </c>
      <c r="E28" s="113">
        <v>195466</v>
      </c>
      <c r="F28" s="113">
        <v>1748301</v>
      </c>
    </row>
    <row r="29" spans="1:6" x14ac:dyDescent="0.2">
      <c r="A29" s="29" t="s">
        <v>112</v>
      </c>
      <c r="B29" s="94">
        <v>1184332</v>
      </c>
      <c r="C29" s="94">
        <v>1798303</v>
      </c>
      <c r="D29" s="94">
        <v>374659</v>
      </c>
      <c r="E29" s="94">
        <v>0</v>
      </c>
      <c r="F29" s="94">
        <v>0</v>
      </c>
    </row>
    <row r="30" spans="1:6" ht="6" customHeight="1" x14ac:dyDescent="0.2">
      <c r="A30" s="9"/>
      <c r="B30" s="93"/>
      <c r="C30" s="93"/>
      <c r="D30" s="93"/>
      <c r="E30" s="93"/>
      <c r="F30" s="93"/>
    </row>
    <row r="31" spans="1:6" ht="17" thickBot="1" x14ac:dyDescent="0.25">
      <c r="A31" s="28" t="s">
        <v>88</v>
      </c>
      <c r="B31" s="114">
        <f>B17+B21+B25</f>
        <v>3939722</v>
      </c>
      <c r="C31" s="114">
        <f>C17+C21+C25</f>
        <v>4866326</v>
      </c>
      <c r="D31" s="114">
        <f>D17+D21+D25</f>
        <v>4464244</v>
      </c>
      <c r="E31" s="114">
        <f>E17+E21+E25</f>
        <v>6203565</v>
      </c>
      <c r="F31" s="114">
        <f>F17+F21+F25</f>
        <v>11861520</v>
      </c>
    </row>
    <row r="32" spans="1:6" ht="17" thickTop="1" x14ac:dyDescent="0.2">
      <c r="A32" s="25"/>
      <c r="B32" s="93"/>
      <c r="C32" s="93"/>
      <c r="D32" s="93"/>
      <c r="E32" s="93"/>
      <c r="F32" s="93"/>
    </row>
    <row r="33" spans="1:6" x14ac:dyDescent="0.2">
      <c r="B33" s="16"/>
      <c r="C33" s="16"/>
      <c r="D33" s="16"/>
      <c r="E33" s="16"/>
      <c r="F33" s="16"/>
    </row>
    <row r="34" spans="1:6" x14ac:dyDescent="0.2">
      <c r="A34" s="15" t="s">
        <v>98</v>
      </c>
      <c r="B34" s="14"/>
      <c r="C34" s="14"/>
      <c r="D34" s="14"/>
    </row>
  </sheetData>
  <pageMargins left="0.7" right="0.7" top="0.75" bottom="0.75" header="0.3" footer="0.3"/>
  <pageSetup paperSize="9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12 Months cash flow statement</vt:lpstr>
      <vt:lpstr>5 Year cash flow projections</vt:lpstr>
      <vt:lpstr>Revenue Forecast</vt:lpstr>
      <vt:lpstr>5 year income statement</vt:lpstr>
      <vt:lpstr>Balance sheet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mragophala</dc:creator>
  <cp:lastModifiedBy>Microsoft Office User</cp:lastModifiedBy>
  <cp:lastPrinted>2019-07-10T13:58:38Z</cp:lastPrinted>
  <dcterms:created xsi:type="dcterms:W3CDTF">2012-05-28T12:59:08Z</dcterms:created>
  <dcterms:modified xsi:type="dcterms:W3CDTF">2019-09-10T07:35:21Z</dcterms:modified>
</cp:coreProperties>
</file>