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liott\Desktop\Business Plans\FINAL EDITING\FINAL EDITING\Shanet\"/>
    </mc:Choice>
  </mc:AlternateContent>
  <xr:revisionPtr revIDLastSave="0" documentId="13_ncr:1_{E4A83C4B-962B-4449-9407-98FAEF4CBC92}" xr6:coauthVersionLast="45" xr6:coauthVersionMax="45" xr10:uidLastSave="{00000000-0000-0000-0000-000000000000}"/>
  <bookViews>
    <workbookView xWindow="-120" yWindow="-120" windowWidth="20730" windowHeight="11160" firstSheet="1" activeTab="4" xr2:uid="{00000000-000D-0000-FFFF-FFFF00000000}"/>
  </bookViews>
  <sheets>
    <sheet name="12 Months cash flow statement" sheetId="1" r:id="rId1"/>
    <sheet name="5 Year cash flow projections" sheetId="2" r:id="rId2"/>
    <sheet name="Revenue Forecast" sheetId="7" r:id="rId3"/>
    <sheet name="5 year income statement" sheetId="5" r:id="rId4"/>
    <sheet name="Balance sheet 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13" i="5" l="1"/>
  <c r="B14" i="5"/>
  <c r="B15" i="5"/>
  <c r="B16" i="5"/>
  <c r="B17" i="5"/>
  <c r="B18" i="5"/>
  <c r="B19" i="5"/>
  <c r="B20" i="5"/>
  <c r="B21" i="5"/>
  <c r="B22" i="5"/>
  <c r="B23" i="5"/>
  <c r="B12" i="5"/>
  <c r="C11" i="6" l="1"/>
  <c r="D11" i="6"/>
  <c r="E11" i="6"/>
  <c r="F11" i="6"/>
  <c r="B11" i="6"/>
  <c r="B24" i="6"/>
  <c r="B20" i="6"/>
  <c r="D9" i="6"/>
  <c r="E9" i="6"/>
  <c r="F9" i="6"/>
  <c r="B8" i="6"/>
  <c r="C24" i="6"/>
  <c r="D24" i="6"/>
  <c r="E24" i="6"/>
  <c r="F24" i="6"/>
  <c r="B34" i="2"/>
  <c r="B5" i="5"/>
  <c r="C4" i="5"/>
  <c r="D4" i="5"/>
  <c r="E4" i="5"/>
  <c r="F4" i="5"/>
  <c r="B4" i="5"/>
  <c r="E9" i="2"/>
  <c r="D9" i="2"/>
  <c r="F9" i="2"/>
  <c r="C9" i="2"/>
  <c r="B66" i="7"/>
  <c r="C32" i="7"/>
  <c r="B32" i="7"/>
  <c r="C48" i="7"/>
  <c r="D48" i="7"/>
  <c r="E48" i="7"/>
  <c r="F48" i="7"/>
  <c r="C64" i="7"/>
  <c r="D64" i="7"/>
  <c r="E64" i="7"/>
  <c r="F64" i="7"/>
  <c r="B64" i="7"/>
  <c r="B48" i="7"/>
  <c r="B41" i="7"/>
  <c r="B25" i="7"/>
  <c r="C16" i="7"/>
  <c r="D16" i="7"/>
  <c r="E16" i="7"/>
  <c r="F16" i="7"/>
  <c r="B16" i="7"/>
  <c r="B9" i="7"/>
  <c r="E44" i="7"/>
  <c r="E45" i="7"/>
  <c r="E46" i="7"/>
  <c r="C40" i="7"/>
  <c r="C37" i="7"/>
  <c r="C38" i="7"/>
  <c r="E12" i="7"/>
  <c r="F12" i="7" s="1"/>
  <c r="F6" i="7"/>
  <c r="F7" i="7"/>
  <c r="F8" i="7"/>
  <c r="F5" i="7"/>
  <c r="F11" i="7"/>
  <c r="F53" i="7"/>
  <c r="F40" i="7"/>
  <c r="F46" i="7"/>
  <c r="F45" i="7"/>
  <c r="F44" i="7"/>
  <c r="F57" i="7"/>
  <c r="E8" i="7"/>
  <c r="E7" i="7"/>
  <c r="E6" i="7"/>
  <c r="E5" i="7"/>
  <c r="E14" i="7"/>
  <c r="F14" i="7" s="1"/>
  <c r="E13" i="7"/>
  <c r="F13" i="7" s="1"/>
  <c r="E11" i="7"/>
  <c r="E24" i="7"/>
  <c r="F24" i="7" s="1"/>
  <c r="E23" i="7"/>
  <c r="F23" i="7" s="1"/>
  <c r="E22" i="7"/>
  <c r="F22" i="7" s="1"/>
  <c r="E21" i="7"/>
  <c r="F21" i="7" s="1"/>
  <c r="E40" i="7"/>
  <c r="E39" i="7"/>
  <c r="F39" i="7" s="1"/>
  <c r="E38" i="7"/>
  <c r="F38" i="7" s="1"/>
  <c r="E37" i="7"/>
  <c r="F37" i="7" s="1"/>
  <c r="C5" i="7"/>
  <c r="E53" i="7"/>
  <c r="E57" i="7"/>
  <c r="D53" i="7"/>
  <c r="D57" i="7" s="1"/>
  <c r="B63" i="7"/>
  <c r="C62" i="7"/>
  <c r="C61" i="7"/>
  <c r="C60" i="7"/>
  <c r="C59" i="7"/>
  <c r="D59" i="7" s="1"/>
  <c r="B57" i="7"/>
  <c r="C56" i="7"/>
  <c r="C55" i="7"/>
  <c r="C54" i="7"/>
  <c r="E15" i="2"/>
  <c r="D22" i="2"/>
  <c r="C57" i="7" l="1"/>
  <c r="D63" i="7"/>
  <c r="E59" i="7"/>
  <c r="C63" i="7"/>
  <c r="C21" i="7"/>
  <c r="C22" i="7"/>
  <c r="C9" i="5"/>
  <c r="B15" i="7"/>
  <c r="E63" i="7" l="1"/>
  <c r="F59" i="7"/>
  <c r="F63" i="7" s="1"/>
  <c r="B5" i="1"/>
  <c r="B14" i="1" s="1"/>
  <c r="B47" i="7"/>
  <c r="F41" i="7"/>
  <c r="N8" i="1"/>
  <c r="B8" i="2" s="1"/>
  <c r="N9" i="1"/>
  <c r="B9" i="2" s="1"/>
  <c r="B31" i="7"/>
  <c r="C27" i="7"/>
  <c r="E27" i="7" s="1"/>
  <c r="F27" i="7" s="1"/>
  <c r="C28" i="7"/>
  <c r="E28" i="7" s="1"/>
  <c r="F28" i="7" s="1"/>
  <c r="C43" i="7"/>
  <c r="C46" i="7"/>
  <c r="C45" i="7"/>
  <c r="C44" i="7"/>
  <c r="C39" i="7"/>
  <c r="C41" i="7"/>
  <c r="C30" i="7"/>
  <c r="E30" i="7" s="1"/>
  <c r="F30" i="7" s="1"/>
  <c r="C29" i="7"/>
  <c r="E29" i="7" s="1"/>
  <c r="F29" i="7" s="1"/>
  <c r="C24" i="7"/>
  <c r="C23" i="7"/>
  <c r="C25" i="7"/>
  <c r="C5" i="1"/>
  <c r="D5" i="1"/>
  <c r="E5" i="1"/>
  <c r="F5" i="1"/>
  <c r="G5" i="1"/>
  <c r="H5" i="1"/>
  <c r="I5" i="1"/>
  <c r="J5" i="1"/>
  <c r="K5" i="1"/>
  <c r="L5" i="1"/>
  <c r="M5" i="1"/>
  <c r="C47" i="7" l="1"/>
  <c r="E43" i="7"/>
  <c r="F43" i="7" s="1"/>
  <c r="B68" i="7"/>
  <c r="B12" i="1"/>
  <c r="B13" i="1"/>
  <c r="E41" i="7"/>
  <c r="D41" i="7"/>
  <c r="D31" i="7"/>
  <c r="C31" i="7"/>
  <c r="C14" i="1"/>
  <c r="D14" i="1"/>
  <c r="E14" i="1"/>
  <c r="F14" i="1"/>
  <c r="G14" i="1"/>
  <c r="H14" i="1"/>
  <c r="I14" i="1"/>
  <c r="J14" i="1"/>
  <c r="K14" i="1"/>
  <c r="L14" i="1"/>
  <c r="M14" i="1"/>
  <c r="E24" i="2"/>
  <c r="F24" i="2" s="1"/>
  <c r="D47" i="7" l="1"/>
  <c r="D9" i="7"/>
  <c r="D25" i="7"/>
  <c r="E31" i="7"/>
  <c r="F31" i="7"/>
  <c r="E18" i="2"/>
  <c r="C11" i="5"/>
  <c r="D11" i="5"/>
  <c r="F11" i="5"/>
  <c r="N6" i="1"/>
  <c r="B6" i="2" s="1"/>
  <c r="F47" i="7" l="1"/>
  <c r="E47" i="7"/>
  <c r="F9" i="7"/>
  <c r="E9" i="7"/>
  <c r="F25" i="7"/>
  <c r="E25" i="7"/>
  <c r="C20" i="5"/>
  <c r="D20" i="5"/>
  <c r="E20" i="5"/>
  <c r="F20" i="5"/>
  <c r="D23" i="5"/>
  <c r="E23" i="5"/>
  <c r="F23" i="5"/>
  <c r="C22" i="5"/>
  <c r="D22" i="5"/>
  <c r="E22" i="5"/>
  <c r="C21" i="5"/>
  <c r="D21" i="5"/>
  <c r="E21" i="5"/>
  <c r="F21" i="5"/>
  <c r="C19" i="5"/>
  <c r="D19" i="5"/>
  <c r="E19" i="5"/>
  <c r="F19" i="5"/>
  <c r="C18" i="5"/>
  <c r="D18" i="5"/>
  <c r="E18" i="5"/>
  <c r="F18" i="5"/>
  <c r="D16" i="5"/>
  <c r="F15" i="5"/>
  <c r="E13" i="5"/>
  <c r="F13" i="5"/>
  <c r="C12" i="5"/>
  <c r="D12" i="5"/>
  <c r="E12" i="5"/>
  <c r="F12" i="5"/>
  <c r="E9" i="5"/>
  <c r="E10" i="5"/>
  <c r="D10" i="5"/>
  <c r="D8" i="5"/>
  <c r="D5" i="2" l="1"/>
  <c r="D14" i="2" s="1"/>
  <c r="E5" i="2"/>
  <c r="E32" i="7"/>
  <c r="F32" i="7"/>
  <c r="N30" i="1"/>
  <c r="B30" i="2" s="1"/>
  <c r="N31" i="1"/>
  <c r="B31" i="2" s="1"/>
  <c r="N34" i="1"/>
  <c r="B5" i="6"/>
  <c r="F5" i="2" l="1"/>
  <c r="F14" i="2" s="1"/>
  <c r="E14" i="2"/>
  <c r="C31" i="2"/>
  <c r="C23" i="5" s="1"/>
  <c r="F30" i="2"/>
  <c r="F22" i="5" s="1"/>
  <c r="N23" i="1"/>
  <c r="C6" i="7" l="1"/>
  <c r="C7" i="7"/>
  <c r="C8" i="7"/>
  <c r="C12" i="7"/>
  <c r="C13" i="7"/>
  <c r="C14" i="7"/>
  <c r="C11" i="7"/>
  <c r="C11" i="2"/>
  <c r="F10" i="2"/>
  <c r="C20" i="6"/>
  <c r="D11" i="7" l="1"/>
  <c r="C15" i="7"/>
  <c r="C68" i="7" s="1"/>
  <c r="C9" i="7"/>
  <c r="F5" i="6"/>
  <c r="E5" i="6"/>
  <c r="D5" i="6"/>
  <c r="C5" i="6"/>
  <c r="F20" i="6"/>
  <c r="E20" i="6"/>
  <c r="D20" i="6"/>
  <c r="C13" i="1"/>
  <c r="D13" i="1"/>
  <c r="E13" i="1"/>
  <c r="F13" i="1"/>
  <c r="G13" i="1"/>
  <c r="H13" i="1"/>
  <c r="I13" i="1"/>
  <c r="J13" i="1"/>
  <c r="K13" i="1"/>
  <c r="L13" i="1"/>
  <c r="M13" i="1"/>
  <c r="B35" i="1"/>
  <c r="B38" i="1" s="1"/>
  <c r="N14" i="1"/>
  <c r="B14" i="2" s="1"/>
  <c r="N15" i="1"/>
  <c r="B15" i="2" s="1"/>
  <c r="B8" i="5" s="1"/>
  <c r="A19" i="2"/>
  <c r="N17" i="1"/>
  <c r="B17" i="2" s="1"/>
  <c r="A10" i="2"/>
  <c r="G12" i="1"/>
  <c r="K12" i="1"/>
  <c r="N28" i="1"/>
  <c r="B28" i="2" s="1"/>
  <c r="N29" i="1"/>
  <c r="B29" i="2" s="1"/>
  <c r="N32" i="1"/>
  <c r="B32" i="2" s="1"/>
  <c r="M12" i="1"/>
  <c r="L12" i="1"/>
  <c r="J12" i="1"/>
  <c r="I12" i="1"/>
  <c r="H12" i="1"/>
  <c r="D12" i="1"/>
  <c r="E12" i="1"/>
  <c r="F12" i="1"/>
  <c r="C66" i="7" l="1"/>
  <c r="D15" i="7"/>
  <c r="E11" i="5"/>
  <c r="B10" i="5"/>
  <c r="C12" i="1"/>
  <c r="C35" i="1" s="1"/>
  <c r="D66" i="7" l="1"/>
  <c r="D68" i="7"/>
  <c r="F15" i="7"/>
  <c r="E15" i="7"/>
  <c r="C5" i="2"/>
  <c r="C14" i="2" s="1"/>
  <c r="C5" i="5"/>
  <c r="E66" i="7" l="1"/>
  <c r="E68" i="7"/>
  <c r="F66" i="7"/>
  <c r="F68" i="7"/>
  <c r="E5" i="5"/>
  <c r="D5" i="5"/>
  <c r="F5" i="5"/>
  <c r="N20" i="1"/>
  <c r="B20" i="2" l="1"/>
  <c r="A22" i="2"/>
  <c r="D11" i="2"/>
  <c r="E11" i="2"/>
  <c r="F11" i="2" s="1"/>
  <c r="N22" i="1"/>
  <c r="B22" i="2" s="1"/>
  <c r="N19" i="1"/>
  <c r="B19" i="2" s="1"/>
  <c r="N11" i="1"/>
  <c r="B11" i="2" s="1"/>
  <c r="F22" i="2" l="1"/>
  <c r="A27" i="2"/>
  <c r="N27" i="1"/>
  <c r="B27" i="2" s="1"/>
  <c r="A33" i="2" l="1"/>
  <c r="A26" i="2"/>
  <c r="A25" i="2"/>
  <c r="A24" i="2"/>
  <c r="A23" i="2"/>
  <c r="A21" i="2"/>
  <c r="A18" i="2"/>
  <c r="A17" i="2"/>
  <c r="A16" i="2"/>
  <c r="A15" i="2"/>
  <c r="N33" i="1"/>
  <c r="B33" i="2" s="1"/>
  <c r="N7" i="1" l="1"/>
  <c r="C38" i="1"/>
  <c r="B7" i="2" l="1"/>
  <c r="N5" i="1"/>
  <c r="B5" i="2" s="1"/>
  <c r="C15" i="2"/>
  <c r="C8" i="5" s="1"/>
  <c r="B10" i="2"/>
  <c r="N21" i="1"/>
  <c r="B21" i="2" s="1"/>
  <c r="F15" i="2" l="1"/>
  <c r="F8" i="5" s="1"/>
  <c r="E8" i="5"/>
  <c r="B12" i="2"/>
  <c r="B35" i="2" s="1"/>
  <c r="N10" i="1"/>
  <c r="N12" i="1" s="1"/>
  <c r="L35" i="1" l="1"/>
  <c r="J35" i="1"/>
  <c r="H35" i="1"/>
  <c r="F35" i="1"/>
  <c r="D35" i="1"/>
  <c r="M35" i="1"/>
  <c r="K35" i="1"/>
  <c r="I35" i="1"/>
  <c r="G35" i="1"/>
  <c r="E35" i="1"/>
  <c r="N25" i="1" l="1"/>
  <c r="N24" i="1"/>
  <c r="B24" i="2" s="1"/>
  <c r="B23" i="2"/>
  <c r="N18" i="1"/>
  <c r="B18" i="2" s="1"/>
  <c r="N16" i="1"/>
  <c r="B16" i="2" s="1"/>
  <c r="E38" i="1"/>
  <c r="C23" i="2" l="1"/>
  <c r="D23" i="2" s="1"/>
  <c r="B9" i="5"/>
  <c r="B11" i="5"/>
  <c r="B25" i="2"/>
  <c r="L38" i="1"/>
  <c r="J38" i="1"/>
  <c r="H38" i="1"/>
  <c r="D38" i="1"/>
  <c r="F38" i="1"/>
  <c r="M38" i="1"/>
  <c r="K38" i="1"/>
  <c r="I38" i="1"/>
  <c r="G38" i="1"/>
  <c r="C25" i="2" l="1"/>
  <c r="E23" i="2"/>
  <c r="E15" i="5" s="1"/>
  <c r="D15" i="5"/>
  <c r="C12" i="2"/>
  <c r="C35" i="2" s="1"/>
  <c r="D25" i="2" l="1"/>
  <c r="C17" i="5"/>
  <c r="B6" i="5"/>
  <c r="E25" i="2" l="1"/>
  <c r="F25" i="2" s="1"/>
  <c r="D17" i="5"/>
  <c r="D12" i="2"/>
  <c r="D35" i="2" s="1"/>
  <c r="C6" i="5"/>
  <c r="F12" i="2" l="1"/>
  <c r="E12" i="2"/>
  <c r="E35" i="2" s="1"/>
  <c r="D6" i="5"/>
  <c r="F35" i="2" l="1"/>
  <c r="F6" i="5"/>
  <c r="E6" i="5"/>
  <c r="B39" i="1" l="1"/>
  <c r="C37" i="1" s="1"/>
  <c r="C39" i="1" s="1"/>
  <c r="D37" i="1" s="1"/>
  <c r="D39" i="1" s="1"/>
  <c r="E37" i="1" s="1"/>
  <c r="E39" i="1" s="1"/>
  <c r="F37" i="1" s="1"/>
  <c r="F39" i="1" s="1"/>
  <c r="G37" i="1" s="1"/>
  <c r="G39" i="1" s="1"/>
  <c r="H37" i="1" s="1"/>
  <c r="H39" i="1" s="1"/>
  <c r="I37" i="1" s="1"/>
  <c r="I39" i="1" s="1"/>
  <c r="J37" i="1" s="1"/>
  <c r="J39" i="1" s="1"/>
  <c r="K37" i="1" s="1"/>
  <c r="K39" i="1" s="1"/>
  <c r="L37" i="1" s="1"/>
  <c r="L39" i="1" s="1"/>
  <c r="M37" i="1" s="1"/>
  <c r="M39" i="1" s="1"/>
  <c r="N37" i="1" s="1"/>
  <c r="N26" i="1"/>
  <c r="N13" i="1" l="1"/>
  <c r="N35" i="1" s="1"/>
  <c r="N38" i="1" s="1"/>
  <c r="N39" i="1" s="1"/>
  <c r="B26" i="2"/>
  <c r="B13" i="2" s="1"/>
  <c r="B36" i="2" l="1"/>
  <c r="B37" i="2" s="1"/>
  <c r="B7" i="5"/>
  <c r="B25" i="5" s="1"/>
  <c r="B26" i="5" s="1"/>
  <c r="B27" i="5" l="1"/>
  <c r="B29" i="5" s="1"/>
  <c r="B16" i="6" l="1"/>
  <c r="B30" i="6" s="1"/>
  <c r="E13" i="2"/>
  <c r="C15" i="5"/>
  <c r="C24" i="2"/>
  <c r="C17" i="2"/>
  <c r="B40" i="2"/>
  <c r="C10" i="5" l="1"/>
  <c r="C13" i="2"/>
  <c r="C36" i="2" s="1"/>
  <c r="C37" i="2" s="1"/>
  <c r="C40" i="2" s="1"/>
  <c r="E17" i="5"/>
  <c r="C13" i="5"/>
  <c r="C16" i="5"/>
  <c r="F17" i="2"/>
  <c r="F10" i="5" s="1"/>
  <c r="B41" i="2"/>
  <c r="D9" i="5"/>
  <c r="D13" i="2" l="1"/>
  <c r="D36" i="2" s="1"/>
  <c r="D37" i="2" s="1"/>
  <c r="D40" i="2" s="1"/>
  <c r="F17" i="5"/>
  <c r="C7" i="5"/>
  <c r="C25" i="5" s="1"/>
  <c r="C26" i="5" s="1"/>
  <c r="C27" i="5" s="1"/>
  <c r="C29" i="5" s="1"/>
  <c r="C16" i="6" s="1"/>
  <c r="C30" i="6" s="1"/>
  <c r="F16" i="5"/>
  <c r="E16" i="5"/>
  <c r="E7" i="5" s="1"/>
  <c r="E25" i="5" s="1"/>
  <c r="D13" i="5"/>
  <c r="C39" i="2"/>
  <c r="B13" i="6"/>
  <c r="B31" i="6" s="1"/>
  <c r="C41" i="2" l="1"/>
  <c r="E26" i="5"/>
  <c r="E27" i="5" s="1"/>
  <c r="E29" i="5" s="1"/>
  <c r="E18" i="6" s="1"/>
  <c r="E16" i="6" s="1"/>
  <c r="E30" i="6" s="1"/>
  <c r="D7" i="5"/>
  <c r="D25" i="5" s="1"/>
  <c r="E36" i="2"/>
  <c r="E37" i="2" s="1"/>
  <c r="E40" i="2" s="1"/>
  <c r="F9" i="5" l="1"/>
  <c r="F7" i="5" s="1"/>
  <c r="F25" i="5" s="1"/>
  <c r="F26" i="5" s="1"/>
  <c r="F13" i="2"/>
  <c r="C8" i="6"/>
  <c r="C13" i="6" s="1"/>
  <c r="C31" i="6" s="1"/>
  <c r="D39" i="2"/>
  <c r="D26" i="5"/>
  <c r="D27" i="5" s="1"/>
  <c r="D29" i="5" s="1"/>
  <c r="D18" i="6" s="1"/>
  <c r="D16" i="6" s="1"/>
  <c r="D30" i="6" s="1"/>
  <c r="D41" i="2" l="1"/>
  <c r="F27" i="5"/>
  <c r="F29" i="5" s="1"/>
  <c r="F18" i="6" s="1"/>
  <c r="F16" i="6" s="1"/>
  <c r="F30" i="6" s="1"/>
  <c r="D8" i="6"/>
  <c r="D13" i="6" s="1"/>
  <c r="D31" i="6" s="1"/>
  <c r="F36" i="2"/>
  <c r="F37" i="2" s="1"/>
  <c r="F40" i="2" s="1"/>
  <c r="E39" i="2" l="1"/>
  <c r="E41" i="2" s="1"/>
  <c r="E10" i="6" s="1"/>
  <c r="E8" i="6"/>
  <c r="E13" i="6" s="1"/>
  <c r="E31" i="6" s="1"/>
  <c r="F39" i="2" l="1"/>
  <c r="F41" i="2" s="1"/>
  <c r="F10" i="6" s="1"/>
  <c r="F8" i="6"/>
  <c r="F13" i="6" s="1"/>
  <c r="F31" i="6" s="1"/>
</calcChain>
</file>

<file path=xl/sharedStrings.xml><?xml version="1.0" encoding="utf-8"?>
<sst xmlns="http://schemas.openxmlformats.org/spreadsheetml/2006/main" count="233" uniqueCount="127">
  <si>
    <t>TOTAL</t>
  </si>
  <si>
    <t>CASH RECEIPTS</t>
  </si>
  <si>
    <t>LESS CASH PAYMENTS</t>
  </si>
  <si>
    <t>Opening balance</t>
  </si>
  <si>
    <t>plus surplus/defecit</t>
  </si>
  <si>
    <t>closing balance</t>
  </si>
  <si>
    <t>SURPLUS/DEFECIT</t>
  </si>
  <si>
    <t>DESCRIPTION</t>
  </si>
  <si>
    <t>YEAR 1</t>
  </si>
  <si>
    <t>YEAR 2</t>
  </si>
  <si>
    <t>YEAR 3</t>
  </si>
  <si>
    <t>YEAR 4</t>
  </si>
  <si>
    <t>YEAR 5</t>
  </si>
  <si>
    <t>TOTAL CASH RECEIVED</t>
  </si>
  <si>
    <t>CASH RECEIVED</t>
  </si>
  <si>
    <t>SURPLUS/ DEFECIT</t>
  </si>
  <si>
    <t>Plus surplus</t>
  </si>
  <si>
    <t>less cost of sales</t>
  </si>
  <si>
    <t>GROSS PROFIT</t>
  </si>
  <si>
    <t>insurance</t>
  </si>
  <si>
    <t>MONTH 6</t>
  </si>
  <si>
    <t>MONTH 7</t>
  </si>
  <si>
    <t>MONTH 8</t>
  </si>
  <si>
    <t>MONTH 9</t>
  </si>
  <si>
    <t>MONTH 10</t>
  </si>
  <si>
    <t>MONTH 11</t>
  </si>
  <si>
    <t>MONTH 12</t>
  </si>
  <si>
    <t>Profit before tax</t>
  </si>
  <si>
    <t>Month 1</t>
  </si>
  <si>
    <t>Month 2</t>
  </si>
  <si>
    <t>Month 3</t>
  </si>
  <si>
    <t>Month 4</t>
  </si>
  <si>
    <t>Month 5</t>
  </si>
  <si>
    <t>owner's contributions</t>
  </si>
  <si>
    <t>Business loan</t>
  </si>
  <si>
    <t>Loan repayments</t>
  </si>
  <si>
    <t>First Quarter</t>
  </si>
  <si>
    <t>Second Qoarter</t>
  </si>
  <si>
    <t>Third Quarter</t>
  </si>
  <si>
    <t>Fourth Quarter</t>
  </si>
  <si>
    <t>Revenue</t>
  </si>
  <si>
    <t>Bank Charges</t>
  </si>
  <si>
    <t xml:space="preserve">Insurance </t>
  </si>
  <si>
    <t>Office Expense</t>
  </si>
  <si>
    <t>Postage</t>
  </si>
  <si>
    <t>Stationery</t>
  </si>
  <si>
    <t>Telephone &amp; Internet</t>
  </si>
  <si>
    <t>Net Income (Loss)</t>
  </si>
  <si>
    <t>Taxation</t>
  </si>
  <si>
    <t>COST OF SALES INCREASE BY 8%</t>
  </si>
  <si>
    <t>Alarm system &amp; Security</t>
  </si>
  <si>
    <t>Advertising</t>
  </si>
  <si>
    <t>Depreciation</t>
  </si>
  <si>
    <t>Rent, Water &amp; Electricity</t>
  </si>
  <si>
    <t>Fuel &amp; Delivery</t>
  </si>
  <si>
    <t>Accounting &amp; Audit Fees</t>
  </si>
  <si>
    <t>Finance Cost</t>
  </si>
  <si>
    <t>ASSUMPTIONS</t>
  </si>
  <si>
    <t>Accounting &amp; Audit fees</t>
  </si>
  <si>
    <t>Office Expenditure</t>
  </si>
  <si>
    <t>Rental, Water &amp; Electricity</t>
  </si>
  <si>
    <t>Wages &amp; Salaries</t>
  </si>
  <si>
    <t>Furniture &amp; Fittings</t>
  </si>
  <si>
    <t>Salaries &amp; Wages</t>
  </si>
  <si>
    <t>Alarm &amp; Security</t>
  </si>
  <si>
    <t>Alam &amp; Security</t>
  </si>
  <si>
    <t xml:space="preserve">Total </t>
  </si>
  <si>
    <t>CASH</t>
  </si>
  <si>
    <t>CREDIT</t>
  </si>
  <si>
    <t>GRAND TOTAL</t>
  </si>
  <si>
    <t>Cost of sales</t>
  </si>
  <si>
    <t>Cost of Sales</t>
  </si>
  <si>
    <t>Year 1</t>
  </si>
  <si>
    <t>Year 2</t>
  </si>
  <si>
    <t>Year 3</t>
  </si>
  <si>
    <t>Assets</t>
  </si>
  <si>
    <t>Non-Current Assets</t>
  </si>
  <si>
    <t>Currents Assets</t>
  </si>
  <si>
    <t>Inventory</t>
  </si>
  <si>
    <t>Total Assets</t>
  </si>
  <si>
    <t>Members interest</t>
  </si>
  <si>
    <t>Non-current liabilities</t>
  </si>
  <si>
    <t>Members Loans</t>
  </si>
  <si>
    <t>Long Term liabilities</t>
  </si>
  <si>
    <t>Current liabilities</t>
  </si>
  <si>
    <t>Interest</t>
  </si>
  <si>
    <t>Trade &amp; Other Payables</t>
  </si>
  <si>
    <t>Current Potion of long term loan</t>
  </si>
  <si>
    <t>Total Equity &amp; Liabiites</t>
  </si>
  <si>
    <t>Cash  &amp; Cash Equivalence</t>
  </si>
  <si>
    <t>Equity &amp; Liabilities</t>
  </si>
  <si>
    <t>Year 4</t>
  </si>
  <si>
    <t>Year 5</t>
  </si>
  <si>
    <t>Retained Earnings</t>
  </si>
  <si>
    <t>Dividend</t>
  </si>
  <si>
    <t xml:space="preserve">Equity </t>
  </si>
  <si>
    <t>Less Operating Expenditure</t>
  </si>
  <si>
    <t>Depreciation is  20% pa  using straight line method on all property, plant and equipment</t>
  </si>
  <si>
    <t>Vehicles</t>
  </si>
  <si>
    <t>Training</t>
  </si>
  <si>
    <t>Consulting</t>
  </si>
  <si>
    <t>Assumptions</t>
  </si>
  <si>
    <t>2. Loan repayment is 10 years</t>
  </si>
  <si>
    <t>Vehicle</t>
  </si>
  <si>
    <t>Repairs &amp; Maintenance</t>
  </si>
  <si>
    <t>Revenues icreased by 20% per year</t>
  </si>
  <si>
    <t>1. 40% of sales are on credit</t>
  </si>
  <si>
    <t>2. 60% 0f sales are for cash the remaining balance is paid in the next month</t>
  </si>
  <si>
    <t>FIVE YEAR REVENUE PROJECTIONS</t>
  </si>
  <si>
    <t>PROJECTED STTEMENT OF CASHLOW FOR FIVE YEARS</t>
  </si>
  <si>
    <t>4. Vergin jumbo roll 1 400kg</t>
  </si>
  <si>
    <t>3. Recycled jumbo roll 800kg</t>
  </si>
  <si>
    <t>SUB-TOTAL</t>
  </si>
  <si>
    <t>CREDIT SALES</t>
  </si>
  <si>
    <t>Trade &amp; Other receivables</t>
  </si>
  <si>
    <t>LOAN IS R1 000 000</t>
  </si>
  <si>
    <t>1. Loan interest is assumed to be 12.5% compounded monthly</t>
  </si>
  <si>
    <t>Ting</t>
  </si>
  <si>
    <t>Breakfast cereal biscuit</t>
  </si>
  <si>
    <t>Breakfast cereal bar</t>
  </si>
  <si>
    <t>Breakfast cereal café</t>
  </si>
  <si>
    <t>Bank overdraft</t>
  </si>
  <si>
    <t>Property Plant &amp; Equipment</t>
  </si>
  <si>
    <t>POJECTED STATEMENT OF PROFIT OR LOSS AND OTHER COMPREHENSIVE INCOME FOR FIVE YEARS</t>
  </si>
  <si>
    <t xml:space="preserve">PROJECTED STATEMENT OF FINANCIAL POSITION FOR FIVE YEARS </t>
  </si>
  <si>
    <t>SHANETS STATEMENT OF CASH FLOW FOR TWELVE MONTHS</t>
  </si>
  <si>
    <t>NB. Depereciation was calculated at 20% annually in all the fixed assets using straight line 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</si>
</sst>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[$R-1C09]\ #,##0.00;[Red][$R-1C09]\ #,##0.00"/>
    <numFmt numFmtId="165" formatCode="\P#,##0.00_);[Red]\(\P#,##0.00\)"/>
  </numFmts>
  <fonts count="3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sz val="11"/>
      <color theme="1"/>
      <name val="Arial"/>
      <family val="2"/>
    </font>
    <font>
      <b/>
      <sz val="12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Calibri"/>
      <family val="2"/>
      <scheme val="minor"/>
    </font>
    <font>
      <sz val="8"/>
      <name val="Arial"/>
      <family val="2"/>
    </font>
    <font>
      <sz val="8"/>
      <color rgb="FF000000"/>
      <name val="Arial"/>
      <family val="2"/>
    </font>
    <font>
      <sz val="11"/>
      <color rgb="FFC00000"/>
      <name val="Arial"/>
      <family val="2"/>
    </font>
    <font>
      <sz val="9"/>
      <color rgb="FFC00000"/>
      <name val="Arial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129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Font="1"/>
    <xf numFmtId="0" fontId="0" fillId="0" borderId="0" xfId="0" applyAlignment="1">
      <alignment wrapText="1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9" fillId="0" borderId="0" xfId="0" applyFont="1" applyBorder="1"/>
    <xf numFmtId="0" fontId="1" fillId="0" borderId="0" xfId="0" applyFont="1" applyBorder="1"/>
    <xf numFmtId="0" fontId="11" fillId="0" borderId="0" xfId="0" applyFont="1" applyBorder="1"/>
    <xf numFmtId="0" fontId="12" fillId="0" borderId="0" xfId="0" applyFont="1" applyFill="1" applyBorder="1"/>
    <xf numFmtId="38" fontId="10" fillId="0" borderId="0" xfId="0" applyNumberFormat="1" applyFont="1"/>
    <xf numFmtId="0" fontId="10" fillId="0" borderId="0" xfId="0" applyFont="1"/>
    <xf numFmtId="38" fontId="7" fillId="0" borderId="0" xfId="0" applyNumberFormat="1" applyFont="1"/>
    <xf numFmtId="0" fontId="9" fillId="0" borderId="0" xfId="0" applyFont="1" applyAlignment="1">
      <alignment horizontal="center"/>
    </xf>
    <xf numFmtId="0" fontId="13" fillId="0" borderId="0" xfId="0" applyFont="1"/>
    <xf numFmtId="0" fontId="13" fillId="0" borderId="0" xfId="0" applyFont="1" applyBorder="1" applyAlignment="1">
      <alignment horizontal="center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vertical="center" wrapText="1"/>
    </xf>
    <xf numFmtId="0" fontId="9" fillId="0" borderId="0" xfId="0" applyFont="1" applyAlignment="1">
      <alignment vertical="center"/>
    </xf>
    <xf numFmtId="38" fontId="9" fillId="0" borderId="0" xfId="0" applyNumberFormat="1" applyFont="1"/>
    <xf numFmtId="38" fontId="14" fillId="0" borderId="0" xfId="0" applyNumberFormat="1" applyFont="1" applyAlignment="1">
      <alignment horizontal="center"/>
    </xf>
    <xf numFmtId="38" fontId="14" fillId="0" borderId="0" xfId="0" applyNumberFormat="1" applyFont="1"/>
    <xf numFmtId="38" fontId="14" fillId="0" borderId="0" xfId="0" applyNumberFormat="1" applyFont="1" applyAlignment="1">
      <alignment horizontal="left"/>
    </xf>
    <xf numFmtId="38" fontId="15" fillId="0" borderId="0" xfId="0" applyNumberFormat="1" applyFont="1"/>
    <xf numFmtId="0" fontId="18" fillId="0" borderId="0" xfId="0" applyFont="1" applyAlignment="1">
      <alignment wrapText="1"/>
    </xf>
    <xf numFmtId="0" fontId="18" fillId="0" borderId="0" xfId="0" applyFont="1"/>
    <xf numFmtId="0" fontId="19" fillId="0" borderId="0" xfId="0" applyFont="1"/>
    <xf numFmtId="0" fontId="16" fillId="0" borderId="0" xfId="0" applyFont="1"/>
    <xf numFmtId="0" fontId="17" fillId="0" borderId="0" xfId="0" applyFont="1"/>
    <xf numFmtId="0" fontId="16" fillId="0" borderId="5" xfId="0" applyFont="1" applyBorder="1"/>
    <xf numFmtId="0" fontId="16" fillId="0" borderId="6" xfId="0" applyFont="1" applyBorder="1"/>
    <xf numFmtId="0" fontId="16" fillId="0" borderId="7" xfId="0" applyFont="1" applyBorder="1"/>
    <xf numFmtId="0" fontId="16" fillId="0" borderId="0" xfId="0" applyFont="1" applyAlignment="1">
      <alignment wrapText="1"/>
    </xf>
    <xf numFmtId="0" fontId="17" fillId="0" borderId="0" xfId="0" applyFont="1" applyAlignment="1">
      <alignment wrapText="1"/>
    </xf>
    <xf numFmtId="0" fontId="20" fillId="0" borderId="0" xfId="0" applyFont="1"/>
    <xf numFmtId="0" fontId="21" fillId="0" borderId="0" xfId="0" applyFont="1"/>
    <xf numFmtId="0" fontId="20" fillId="0" borderId="21" xfId="0" applyFont="1" applyBorder="1"/>
    <xf numFmtId="0" fontId="21" fillId="0" borderId="0" xfId="0" applyFont="1" applyAlignment="1">
      <alignment wrapText="1"/>
    </xf>
    <xf numFmtId="0" fontId="22" fillId="0" borderId="20" xfId="0" applyFont="1" applyBorder="1" applyAlignment="1">
      <alignment vertical="top" wrapText="1"/>
    </xf>
    <xf numFmtId="0" fontId="22" fillId="0" borderId="6" xfId="0" applyFont="1" applyBorder="1" applyAlignment="1">
      <alignment vertical="top" wrapText="1"/>
    </xf>
    <xf numFmtId="0" fontId="22" fillId="0" borderId="7" xfId="0" applyFont="1" applyBorder="1" applyAlignment="1">
      <alignment vertical="top" wrapText="1"/>
    </xf>
    <xf numFmtId="0" fontId="22" fillId="0" borderId="0" xfId="0" applyFont="1" applyBorder="1" applyAlignment="1">
      <alignment vertical="top"/>
    </xf>
    <xf numFmtId="0" fontId="23" fillId="0" borderId="0" xfId="0" applyFont="1" applyBorder="1" applyAlignment="1">
      <alignment vertical="top"/>
    </xf>
    <xf numFmtId="0" fontId="23" fillId="0" borderId="0" xfId="0" applyFont="1" applyBorder="1" applyAlignment="1">
      <alignment vertical="top" wrapText="1"/>
    </xf>
    <xf numFmtId="0" fontId="24" fillId="0" borderId="0" xfId="0" applyFont="1" applyBorder="1" applyAlignment="1">
      <alignment vertical="top" wrapText="1"/>
    </xf>
    <xf numFmtId="0" fontId="22" fillId="0" borderId="0" xfId="0" applyFont="1" applyBorder="1" applyAlignment="1">
      <alignment vertical="top" wrapText="1"/>
    </xf>
    <xf numFmtId="164" fontId="7" fillId="0" borderId="0" xfId="0" applyNumberFormat="1" applyFont="1"/>
    <xf numFmtId="0" fontId="13" fillId="0" borderId="0" xfId="0" applyFont="1" applyBorder="1"/>
    <xf numFmtId="0" fontId="13" fillId="0" borderId="0" xfId="0" applyFont="1" applyFill="1" applyBorder="1" applyAlignment="1">
      <alignment horizontal="center"/>
    </xf>
    <xf numFmtId="0" fontId="12" fillId="0" borderId="0" xfId="0" applyFont="1" applyBorder="1"/>
    <xf numFmtId="0" fontId="9" fillId="0" borderId="0" xfId="0" applyFont="1" applyBorder="1" applyAlignment="1">
      <alignment vertical="top" wrapText="1"/>
    </xf>
    <xf numFmtId="38" fontId="13" fillId="0" borderId="0" xfId="0" applyNumberFormat="1" applyFont="1"/>
    <xf numFmtId="0" fontId="28" fillId="0" borderId="0" xfId="0" applyFont="1" applyBorder="1" applyAlignment="1">
      <alignment vertical="top" wrapText="1"/>
    </xf>
    <xf numFmtId="165" fontId="23" fillId="0" borderId="0" xfId="0" applyNumberFormat="1" applyFont="1" applyBorder="1" applyAlignment="1">
      <alignment vertical="top"/>
    </xf>
    <xf numFmtId="165" fontId="21" fillId="0" borderId="0" xfId="0" applyNumberFormat="1" applyFont="1" applyBorder="1"/>
    <xf numFmtId="165" fontId="23" fillId="0" borderId="2" xfId="0" applyNumberFormat="1" applyFont="1" applyBorder="1" applyAlignment="1">
      <alignment vertical="top"/>
    </xf>
    <xf numFmtId="165" fontId="23" fillId="0" borderId="8" xfId="0" applyNumberFormat="1" applyFont="1" applyBorder="1" applyAlignment="1">
      <alignment vertical="top"/>
    </xf>
    <xf numFmtId="165" fontId="21" fillId="0" borderId="0" xfId="0" applyNumberFormat="1" applyFont="1"/>
    <xf numFmtId="165" fontId="23" fillId="0" borderId="18" xfId="0" applyNumberFormat="1" applyFont="1" applyBorder="1" applyAlignment="1">
      <alignment vertical="top"/>
    </xf>
    <xf numFmtId="165" fontId="23" fillId="0" borderId="4" xfId="0" applyNumberFormat="1" applyFont="1" applyBorder="1" applyAlignment="1">
      <alignment vertical="top"/>
    </xf>
    <xf numFmtId="165" fontId="23" fillId="0" borderId="17" xfId="0" applyNumberFormat="1" applyFont="1" applyBorder="1" applyAlignment="1">
      <alignment vertical="top"/>
    </xf>
    <xf numFmtId="165" fontId="23" fillId="0" borderId="21" xfId="0" applyNumberFormat="1" applyFont="1" applyBorder="1" applyAlignment="1">
      <alignment vertical="top"/>
    </xf>
    <xf numFmtId="165" fontId="24" fillId="0" borderId="0" xfId="0" applyNumberFormat="1" applyFont="1" applyBorder="1" applyAlignment="1">
      <alignment vertical="top"/>
    </xf>
    <xf numFmtId="165" fontId="25" fillId="0" borderId="0" xfId="0" applyNumberFormat="1" applyFont="1"/>
    <xf numFmtId="165" fontId="24" fillId="0" borderId="21" xfId="0" applyNumberFormat="1" applyFont="1" applyBorder="1" applyAlignment="1">
      <alignment vertical="top"/>
    </xf>
    <xf numFmtId="165" fontId="25" fillId="0" borderId="0" xfId="0" applyNumberFormat="1" applyFont="1" applyBorder="1"/>
    <xf numFmtId="165" fontId="26" fillId="0" borderId="3" xfId="0" applyNumberFormat="1" applyFont="1" applyBorder="1" applyAlignment="1">
      <alignment vertical="top"/>
    </xf>
    <xf numFmtId="165" fontId="23" fillId="0" borderId="3" xfId="0" applyNumberFormat="1" applyFont="1" applyBorder="1" applyAlignment="1">
      <alignment vertical="top"/>
    </xf>
    <xf numFmtId="165" fontId="27" fillId="0" borderId="18" xfId="1" applyNumberFormat="1" applyFont="1" applyBorder="1" applyAlignment="1">
      <alignment vertical="center" wrapText="1"/>
    </xf>
    <xf numFmtId="165" fontId="23" fillId="0" borderId="20" xfId="0" applyNumberFormat="1" applyFont="1" applyBorder="1" applyAlignment="1">
      <alignment vertical="top"/>
    </xf>
    <xf numFmtId="165" fontId="22" fillId="0" borderId="22" xfId="0" applyNumberFormat="1" applyFont="1" applyBorder="1" applyAlignment="1">
      <alignment vertical="top"/>
    </xf>
    <xf numFmtId="165" fontId="23" fillId="0" borderId="10" xfId="0" applyNumberFormat="1" applyFont="1" applyBorder="1" applyAlignment="1">
      <alignment vertical="top"/>
    </xf>
    <xf numFmtId="165" fontId="23" fillId="0" borderId="9" xfId="0" applyNumberFormat="1" applyFont="1" applyBorder="1" applyAlignment="1">
      <alignment vertical="top"/>
    </xf>
    <xf numFmtId="165" fontId="23" fillId="0" borderId="19" xfId="0" applyNumberFormat="1" applyFont="1" applyBorder="1" applyAlignment="1">
      <alignment vertical="top"/>
    </xf>
    <xf numFmtId="165" fontId="16" fillId="0" borderId="0" xfId="0" applyNumberFormat="1" applyFont="1" applyBorder="1"/>
    <xf numFmtId="165" fontId="17" fillId="0" borderId="0" xfId="0" applyNumberFormat="1" applyFont="1"/>
    <xf numFmtId="165" fontId="7" fillId="0" borderId="0" xfId="0" applyNumberFormat="1" applyFont="1"/>
    <xf numFmtId="165" fontId="17" fillId="0" borderId="0" xfId="0" applyNumberFormat="1" applyFont="1" applyBorder="1"/>
    <xf numFmtId="165" fontId="17" fillId="0" borderId="2" xfId="0" applyNumberFormat="1" applyFont="1" applyBorder="1"/>
    <xf numFmtId="165" fontId="17" fillId="0" borderId="9" xfId="0" applyNumberFormat="1" applyFont="1" applyBorder="1"/>
    <xf numFmtId="165" fontId="17" fillId="0" borderId="18" xfId="0" applyNumberFormat="1" applyFont="1" applyBorder="1"/>
    <xf numFmtId="165" fontId="17" fillId="0" borderId="17" xfId="0" applyNumberFormat="1" applyFont="1" applyBorder="1"/>
    <xf numFmtId="165" fontId="17" fillId="0" borderId="21" xfId="0" applyNumberFormat="1" applyFont="1" applyBorder="1"/>
    <xf numFmtId="165" fontId="17" fillId="0" borderId="0" xfId="0" applyNumberFormat="1" applyFont="1" applyFill="1" applyBorder="1"/>
    <xf numFmtId="165" fontId="17" fillId="0" borderId="10" xfId="0" applyNumberFormat="1" applyFont="1" applyBorder="1"/>
    <xf numFmtId="165" fontId="17" fillId="0" borderId="8" xfId="0" applyNumberFormat="1" applyFont="1" applyBorder="1"/>
    <xf numFmtId="165" fontId="17" fillId="0" borderId="3" xfId="0" applyNumberFormat="1" applyFont="1" applyBorder="1"/>
    <xf numFmtId="165" fontId="17" fillId="0" borderId="4" xfId="0" applyNumberFormat="1" applyFont="1" applyBorder="1"/>
    <xf numFmtId="165" fontId="17" fillId="0" borderId="20" xfId="0" applyNumberFormat="1" applyFont="1" applyBorder="1"/>
    <xf numFmtId="165" fontId="17" fillId="0" borderId="19" xfId="0" applyNumberFormat="1" applyFont="1" applyBorder="1"/>
    <xf numFmtId="165" fontId="16" fillId="0" borderId="1" xfId="0" applyNumberFormat="1" applyFont="1" applyBorder="1"/>
    <xf numFmtId="165" fontId="16" fillId="0" borderId="22" xfId="0" applyNumberFormat="1" applyFont="1" applyBorder="1"/>
    <xf numFmtId="165" fontId="13" fillId="0" borderId="0" xfId="0" applyNumberFormat="1" applyFont="1" applyBorder="1" applyAlignment="1">
      <alignment horizontal="center"/>
    </xf>
    <xf numFmtId="165" fontId="13" fillId="0" borderId="0" xfId="0" applyNumberFormat="1" applyFont="1" applyFill="1" applyBorder="1" applyAlignment="1">
      <alignment horizontal="center"/>
    </xf>
    <xf numFmtId="165" fontId="9" fillId="0" borderId="0" xfId="0" applyNumberFormat="1" applyFont="1"/>
    <xf numFmtId="165" fontId="11" fillId="0" borderId="0" xfId="0" applyNumberFormat="1" applyFont="1" applyBorder="1"/>
    <xf numFmtId="165" fontId="9" fillId="0" borderId="0" xfId="0" applyNumberFormat="1" applyFont="1" applyBorder="1"/>
    <xf numFmtId="165" fontId="12" fillId="0" borderId="16" xfId="0" applyNumberFormat="1" applyFont="1" applyBorder="1"/>
    <xf numFmtId="165" fontId="13" fillId="0" borderId="0" xfId="0" applyNumberFormat="1" applyFont="1" applyBorder="1"/>
    <xf numFmtId="165" fontId="13" fillId="0" borderId="1" xfId="0" applyNumberFormat="1" applyFont="1" applyBorder="1"/>
    <xf numFmtId="165" fontId="13" fillId="0" borderId="16" xfId="0" applyNumberFormat="1" applyFont="1" applyBorder="1"/>
    <xf numFmtId="165" fontId="9" fillId="0" borderId="11" xfId="0" applyNumberFormat="1" applyFont="1" applyBorder="1"/>
    <xf numFmtId="165" fontId="11" fillId="0" borderId="2" xfId="1" applyNumberFormat="1" applyFont="1" applyBorder="1" applyAlignment="1">
      <alignment vertical="center" wrapText="1"/>
    </xf>
    <xf numFmtId="165" fontId="9" fillId="0" borderId="2" xfId="0" applyNumberFormat="1" applyFont="1" applyBorder="1"/>
    <xf numFmtId="165" fontId="9" fillId="0" borderId="8" xfId="0" applyNumberFormat="1" applyFont="1" applyBorder="1"/>
    <xf numFmtId="165" fontId="11" fillId="0" borderId="18" xfId="1" applyNumberFormat="1" applyFont="1" applyBorder="1" applyAlignment="1">
      <alignment vertical="center" wrapText="1"/>
    </xf>
    <xf numFmtId="165" fontId="9" fillId="0" borderId="18" xfId="0" applyNumberFormat="1" applyFont="1" applyBorder="1"/>
    <xf numFmtId="165" fontId="9" fillId="0" borderId="4" xfId="0" applyNumberFormat="1" applyFont="1" applyBorder="1"/>
    <xf numFmtId="165" fontId="11" fillId="0" borderId="4" xfId="1" applyNumberFormat="1" applyFont="1" applyBorder="1" applyAlignment="1">
      <alignment vertical="center" wrapText="1"/>
    </xf>
    <xf numFmtId="165" fontId="9" fillId="0" borderId="17" xfId="0" applyNumberFormat="1" applyFont="1" applyFill="1" applyBorder="1"/>
    <xf numFmtId="165" fontId="9" fillId="0" borderId="19" xfId="0" applyNumberFormat="1" applyFont="1" applyBorder="1"/>
    <xf numFmtId="165" fontId="0" fillId="0" borderId="0" xfId="0" applyNumberFormat="1"/>
    <xf numFmtId="165" fontId="14" fillId="0" borderId="0" xfId="0" applyNumberFormat="1" applyFont="1"/>
    <xf numFmtId="165" fontId="9" fillId="0" borderId="12" xfId="0" applyNumberFormat="1" applyFont="1" applyBorder="1"/>
    <xf numFmtId="165" fontId="14" fillId="0" borderId="0" xfId="0" applyNumberFormat="1" applyFont="1" applyBorder="1"/>
    <xf numFmtId="165" fontId="9" fillId="0" borderId="14" xfId="0" applyNumberFormat="1" applyFont="1" applyBorder="1"/>
    <xf numFmtId="165" fontId="9" fillId="0" borderId="13" xfId="0" applyNumberFormat="1" applyFont="1" applyBorder="1"/>
    <xf numFmtId="165" fontId="9" fillId="0" borderId="15" xfId="0" applyNumberFormat="1" applyFont="1" applyBorder="1"/>
    <xf numFmtId="165" fontId="14" fillId="0" borderId="1" xfId="0" applyNumberFormat="1" applyFont="1" applyBorder="1"/>
    <xf numFmtId="165" fontId="13" fillId="0" borderId="0" xfId="0" applyNumberFormat="1" applyFont="1"/>
    <xf numFmtId="0" fontId="23" fillId="0" borderId="0" xfId="0" applyFont="1" applyAlignment="1">
      <alignment vertical="center" wrapText="1"/>
    </xf>
    <xf numFmtId="0" fontId="23" fillId="0" borderId="0" xfId="0" applyFont="1" applyAlignment="1">
      <alignment vertical="top" wrapText="1"/>
    </xf>
    <xf numFmtId="0" fontId="29" fillId="0" borderId="0" xfId="0" applyFont="1" applyAlignment="1">
      <alignment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44"/>
  <sheetViews>
    <sheetView topLeftCell="B1" zoomScale="223" workbookViewId="0"/>
  </sheetViews>
  <sheetFormatPr defaultColWidth="8.85546875" defaultRowHeight="15" x14ac:dyDescent="0.25"/>
  <cols>
    <col min="1" max="1" width="18" customWidth="1"/>
    <col min="2" max="2" width="11.140625" customWidth="1"/>
    <col min="3" max="3" width="11.85546875" customWidth="1"/>
    <col min="4" max="5" width="10.7109375" customWidth="1"/>
    <col min="6" max="6" width="11.140625" customWidth="1"/>
    <col min="7" max="7" width="11.85546875" customWidth="1"/>
    <col min="8" max="8" width="11.42578125" customWidth="1"/>
    <col min="9" max="9" width="11.140625" customWidth="1"/>
    <col min="10" max="10" width="11.42578125" customWidth="1"/>
    <col min="11" max="11" width="10.85546875" customWidth="1"/>
    <col min="12" max="12" width="11.140625" customWidth="1"/>
    <col min="13" max="13" width="11" customWidth="1"/>
    <col min="14" max="14" width="12.140625" customWidth="1"/>
    <col min="15" max="15" width="1.85546875" customWidth="1"/>
  </cols>
  <sheetData>
    <row r="1" spans="1:24" s="5" customFormat="1" ht="18.75" x14ac:dyDescent="0.3">
      <c r="A1" s="40" t="s">
        <v>125</v>
      </c>
      <c r="B1" s="40"/>
      <c r="C1" s="40"/>
      <c r="D1" s="40"/>
      <c r="E1" s="40"/>
      <c r="F1" s="40"/>
      <c r="G1" s="41"/>
      <c r="H1" s="41"/>
      <c r="I1" s="41"/>
      <c r="J1" s="41"/>
      <c r="K1" s="41"/>
      <c r="L1" s="41"/>
      <c r="M1" s="41"/>
      <c r="N1" s="41"/>
      <c r="O1" s="41"/>
    </row>
    <row r="2" spans="1:24" s="1" customFormat="1" ht="9" customHeight="1" thickBot="1" x14ac:dyDescent="0.3">
      <c r="A2" s="42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0"/>
    </row>
    <row r="3" spans="1:24" s="4" customFormat="1" ht="17.100000000000001" customHeight="1" thickBot="1" x14ac:dyDescent="0.3">
      <c r="A3" s="44" t="s">
        <v>7</v>
      </c>
      <c r="B3" s="45" t="s">
        <v>28</v>
      </c>
      <c r="C3" s="45" t="s">
        <v>29</v>
      </c>
      <c r="D3" s="45" t="s">
        <v>30</v>
      </c>
      <c r="E3" s="45" t="s">
        <v>31</v>
      </c>
      <c r="F3" s="45" t="s">
        <v>32</v>
      </c>
      <c r="G3" s="45" t="s">
        <v>20</v>
      </c>
      <c r="H3" s="45" t="s">
        <v>21</v>
      </c>
      <c r="I3" s="45" t="s">
        <v>22</v>
      </c>
      <c r="J3" s="45" t="s">
        <v>23</v>
      </c>
      <c r="K3" s="45" t="s">
        <v>24</v>
      </c>
      <c r="L3" s="45" t="s">
        <v>25</v>
      </c>
      <c r="M3" s="45" t="s">
        <v>26</v>
      </c>
      <c r="N3" s="46" t="s">
        <v>0</v>
      </c>
      <c r="O3" s="43"/>
      <c r="P3" s="30"/>
      <c r="Q3" s="30"/>
      <c r="R3" s="30"/>
      <c r="S3" s="30"/>
      <c r="T3" s="30"/>
      <c r="U3" s="30"/>
      <c r="V3" s="30"/>
      <c r="W3" s="30"/>
      <c r="X3" s="30"/>
    </row>
    <row r="4" spans="1:24" ht="12.95" customHeight="1" x14ac:dyDescent="0.25">
      <c r="A4" s="47" t="s">
        <v>1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1"/>
      <c r="P4" s="31"/>
      <c r="Q4" s="31"/>
      <c r="R4" s="31"/>
      <c r="S4" s="31"/>
      <c r="T4" s="31"/>
      <c r="U4" s="31"/>
      <c r="V4" s="31"/>
      <c r="W4" s="31"/>
      <c r="X4" s="31"/>
    </row>
    <row r="5" spans="1:24" ht="11.1" customHeight="1" thickBot="1" x14ac:dyDescent="0.3">
      <c r="A5" s="49" t="s">
        <v>40</v>
      </c>
      <c r="B5" s="59">
        <f>B6+B7+B8+B9</f>
        <v>217200</v>
      </c>
      <c r="C5" s="59">
        <f t="shared" ref="C5:N5" si="0">C6+C7+C8+C9</f>
        <v>217200</v>
      </c>
      <c r="D5" s="59">
        <f t="shared" si="0"/>
        <v>217200</v>
      </c>
      <c r="E5" s="59">
        <f t="shared" si="0"/>
        <v>217200</v>
      </c>
      <c r="F5" s="59">
        <f t="shared" si="0"/>
        <v>217200</v>
      </c>
      <c r="G5" s="59">
        <f t="shared" si="0"/>
        <v>217200</v>
      </c>
      <c r="H5" s="59">
        <f t="shared" si="0"/>
        <v>217200</v>
      </c>
      <c r="I5" s="59">
        <f t="shared" si="0"/>
        <v>217200</v>
      </c>
      <c r="J5" s="59">
        <f t="shared" si="0"/>
        <v>217200</v>
      </c>
      <c r="K5" s="59">
        <f t="shared" si="0"/>
        <v>217200</v>
      </c>
      <c r="L5" s="59">
        <f t="shared" si="0"/>
        <v>217200</v>
      </c>
      <c r="M5" s="59">
        <f t="shared" si="0"/>
        <v>217200</v>
      </c>
      <c r="N5" s="59">
        <f t="shared" si="0"/>
        <v>2606400</v>
      </c>
      <c r="O5" s="60"/>
      <c r="P5" s="31"/>
      <c r="Q5" s="31"/>
      <c r="R5" s="31"/>
      <c r="S5" s="31"/>
      <c r="T5" s="31"/>
      <c r="U5" s="31"/>
      <c r="V5" s="31"/>
      <c r="W5" s="31"/>
      <c r="X5" s="31"/>
    </row>
    <row r="6" spans="1:24" ht="11.1" customHeight="1" x14ac:dyDescent="0.25">
      <c r="A6" s="39" t="s">
        <v>117</v>
      </c>
      <c r="B6" s="61">
        <v>42000</v>
      </c>
      <c r="C6" s="61">
        <v>42000</v>
      </c>
      <c r="D6" s="61">
        <v>42000</v>
      </c>
      <c r="E6" s="61">
        <v>42000</v>
      </c>
      <c r="F6" s="61">
        <v>42000</v>
      </c>
      <c r="G6" s="61">
        <v>42000</v>
      </c>
      <c r="H6" s="61">
        <v>42000</v>
      </c>
      <c r="I6" s="61">
        <v>42000</v>
      </c>
      <c r="J6" s="61">
        <v>42000</v>
      </c>
      <c r="K6" s="61">
        <v>42000</v>
      </c>
      <c r="L6" s="61">
        <v>42000</v>
      </c>
      <c r="M6" s="61">
        <v>42000</v>
      </c>
      <c r="N6" s="62">
        <f>SUM(B6:M6)</f>
        <v>504000</v>
      </c>
      <c r="O6" s="63"/>
      <c r="P6" s="31"/>
      <c r="Q6" s="31"/>
      <c r="R6" s="31"/>
      <c r="S6" s="31"/>
      <c r="T6" s="31"/>
      <c r="U6" s="31"/>
      <c r="V6" s="31"/>
      <c r="W6" s="31"/>
      <c r="X6" s="31"/>
    </row>
    <row r="7" spans="1:24" ht="12" customHeight="1" x14ac:dyDescent="0.25">
      <c r="A7" s="39" t="s">
        <v>118</v>
      </c>
      <c r="B7" s="64">
        <v>90000</v>
      </c>
      <c r="C7" s="64">
        <v>90000</v>
      </c>
      <c r="D7" s="64">
        <v>90000</v>
      </c>
      <c r="E7" s="64">
        <v>90000</v>
      </c>
      <c r="F7" s="64">
        <v>90000</v>
      </c>
      <c r="G7" s="64">
        <v>90000</v>
      </c>
      <c r="H7" s="64">
        <v>90000</v>
      </c>
      <c r="I7" s="64">
        <v>90000</v>
      </c>
      <c r="J7" s="64">
        <v>90000</v>
      </c>
      <c r="K7" s="64">
        <v>90000</v>
      </c>
      <c r="L7" s="64">
        <v>90000</v>
      </c>
      <c r="M7" s="64">
        <v>90000</v>
      </c>
      <c r="N7" s="65">
        <f>M7+L7+K7+J7+I7+H7+G7+F7+E7+D7+C7+B7</f>
        <v>1080000</v>
      </c>
      <c r="O7" s="63"/>
      <c r="P7" s="31"/>
      <c r="Q7" s="31"/>
      <c r="R7" s="31"/>
      <c r="S7" s="31"/>
      <c r="T7" s="31"/>
      <c r="U7" s="31"/>
      <c r="V7" s="31"/>
      <c r="W7" s="31"/>
      <c r="X7" s="31"/>
    </row>
    <row r="8" spans="1:24" ht="12" customHeight="1" x14ac:dyDescent="0.25">
      <c r="A8" s="39" t="s">
        <v>119</v>
      </c>
      <c r="B8" s="64">
        <v>57600</v>
      </c>
      <c r="C8" s="64">
        <v>57600</v>
      </c>
      <c r="D8" s="64">
        <v>57600</v>
      </c>
      <c r="E8" s="64">
        <v>57600</v>
      </c>
      <c r="F8" s="64">
        <v>57600</v>
      </c>
      <c r="G8" s="64">
        <v>57600</v>
      </c>
      <c r="H8" s="64">
        <v>57600</v>
      </c>
      <c r="I8" s="64">
        <v>57600</v>
      </c>
      <c r="J8" s="64">
        <v>57600</v>
      </c>
      <c r="K8" s="64">
        <v>57600</v>
      </c>
      <c r="L8" s="64">
        <v>57600</v>
      </c>
      <c r="M8" s="64">
        <v>57600</v>
      </c>
      <c r="N8" s="65">
        <f t="shared" ref="N8:N9" si="1">M8+L8+K8+J8+I8+H8+G8+F8+E8+D8+C8+B8</f>
        <v>691200</v>
      </c>
      <c r="O8" s="60"/>
      <c r="P8" s="31"/>
      <c r="Q8" s="31"/>
      <c r="R8" s="31"/>
      <c r="S8" s="31"/>
      <c r="T8" s="31"/>
      <c r="U8" s="31"/>
      <c r="V8" s="31"/>
      <c r="W8" s="31"/>
      <c r="X8" s="31"/>
    </row>
    <row r="9" spans="1:24" ht="12" customHeight="1" thickBot="1" x14ac:dyDescent="0.3">
      <c r="A9" s="39" t="s">
        <v>120</v>
      </c>
      <c r="B9" s="66">
        <v>27600</v>
      </c>
      <c r="C9" s="66">
        <v>27600</v>
      </c>
      <c r="D9" s="66">
        <v>27600</v>
      </c>
      <c r="E9" s="66">
        <v>27600</v>
      </c>
      <c r="F9" s="66">
        <v>27600</v>
      </c>
      <c r="G9" s="66">
        <v>27600</v>
      </c>
      <c r="H9" s="66">
        <v>27600</v>
      </c>
      <c r="I9" s="66">
        <v>27600</v>
      </c>
      <c r="J9" s="66">
        <v>27600</v>
      </c>
      <c r="K9" s="66">
        <v>27600</v>
      </c>
      <c r="L9" s="66">
        <v>27600</v>
      </c>
      <c r="M9" s="66">
        <v>27600</v>
      </c>
      <c r="N9" s="66">
        <f t="shared" si="1"/>
        <v>331200</v>
      </c>
      <c r="O9" s="60"/>
      <c r="P9" s="31"/>
      <c r="Q9" s="31"/>
      <c r="R9" s="31"/>
      <c r="S9" s="31"/>
      <c r="T9" s="31"/>
      <c r="U9" s="31"/>
      <c r="V9" s="31"/>
      <c r="W9" s="31"/>
      <c r="X9" s="31"/>
    </row>
    <row r="10" spans="1:24" ht="12" customHeight="1" x14ac:dyDescent="0.25">
      <c r="A10" s="49" t="s">
        <v>33</v>
      </c>
      <c r="B10" s="59">
        <v>40000</v>
      </c>
      <c r="C10" s="59">
        <v>0</v>
      </c>
      <c r="D10" s="59">
        <v>0</v>
      </c>
      <c r="E10" s="59">
        <v>0</v>
      </c>
      <c r="F10" s="59">
        <v>0</v>
      </c>
      <c r="G10" s="59">
        <v>0</v>
      </c>
      <c r="H10" s="59">
        <v>0</v>
      </c>
      <c r="I10" s="59">
        <v>0</v>
      </c>
      <c r="J10" s="59">
        <v>0</v>
      </c>
      <c r="K10" s="59">
        <v>0</v>
      </c>
      <c r="L10" s="59">
        <v>0</v>
      </c>
      <c r="M10" s="59">
        <v>0</v>
      </c>
      <c r="N10" s="59">
        <f>M10+L10+K10+J10+I10+H10+G10+F10+E10+D10+C10+B10</f>
        <v>40000</v>
      </c>
      <c r="O10" s="60"/>
      <c r="P10" s="31"/>
      <c r="Q10" s="31"/>
      <c r="R10" s="31"/>
      <c r="S10" s="31"/>
      <c r="T10" s="31"/>
      <c r="U10" s="31"/>
      <c r="V10" s="31"/>
      <c r="W10" s="31"/>
      <c r="X10" s="31"/>
    </row>
    <row r="11" spans="1:24" ht="14.1" customHeight="1" thickBot="1" x14ac:dyDescent="0.3">
      <c r="A11" s="49" t="s">
        <v>34</v>
      </c>
      <c r="B11" s="67">
        <v>1000000</v>
      </c>
      <c r="C11" s="67">
        <v>0</v>
      </c>
      <c r="D11" s="67">
        <v>0</v>
      </c>
      <c r="E11" s="67">
        <v>0</v>
      </c>
      <c r="F11" s="67">
        <v>0</v>
      </c>
      <c r="G11" s="67">
        <v>0</v>
      </c>
      <c r="H11" s="67">
        <v>0</v>
      </c>
      <c r="I11" s="67">
        <v>0</v>
      </c>
      <c r="J11" s="67">
        <v>0</v>
      </c>
      <c r="K11" s="67">
        <v>0</v>
      </c>
      <c r="L11" s="67">
        <v>0</v>
      </c>
      <c r="M11" s="67">
        <v>0</v>
      </c>
      <c r="N11" s="67">
        <f>M11+L11+K11+J11+I11+H11+G11+F11+E11+D11+C11+B11</f>
        <v>1000000</v>
      </c>
      <c r="O11" s="60"/>
      <c r="P11" s="31"/>
      <c r="Q11" s="31"/>
      <c r="R11" s="31"/>
      <c r="S11" s="31"/>
      <c r="T11" s="31"/>
      <c r="U11" s="31"/>
      <c r="V11" s="31"/>
      <c r="W11" s="31"/>
      <c r="X11" s="31"/>
    </row>
    <row r="12" spans="1:24" s="6" customFormat="1" ht="12" customHeight="1" x14ac:dyDescent="0.25">
      <c r="A12" s="50" t="s">
        <v>13</v>
      </c>
      <c r="B12" s="68">
        <f>B5+B10+B11</f>
        <v>1257200</v>
      </c>
      <c r="C12" s="68">
        <f t="shared" ref="C12:N12" si="2">C5+C10+C11</f>
        <v>217200</v>
      </c>
      <c r="D12" s="68">
        <f t="shared" si="2"/>
        <v>217200</v>
      </c>
      <c r="E12" s="68">
        <f t="shared" si="2"/>
        <v>217200</v>
      </c>
      <c r="F12" s="68">
        <f t="shared" si="2"/>
        <v>217200</v>
      </c>
      <c r="G12" s="68">
        <f t="shared" si="2"/>
        <v>217200</v>
      </c>
      <c r="H12" s="68">
        <f t="shared" si="2"/>
        <v>217200</v>
      </c>
      <c r="I12" s="68">
        <f t="shared" si="2"/>
        <v>217200</v>
      </c>
      <c r="J12" s="68">
        <f t="shared" si="2"/>
        <v>217200</v>
      </c>
      <c r="K12" s="68">
        <f t="shared" si="2"/>
        <v>217200</v>
      </c>
      <c r="L12" s="68">
        <f t="shared" si="2"/>
        <v>217200</v>
      </c>
      <c r="M12" s="68">
        <f t="shared" si="2"/>
        <v>217200</v>
      </c>
      <c r="N12" s="68">
        <f t="shared" si="2"/>
        <v>3646400</v>
      </c>
      <c r="O12" s="69"/>
      <c r="P12" s="32"/>
      <c r="Q12" s="32"/>
      <c r="R12" s="32"/>
      <c r="S12" s="32"/>
      <c r="T12" s="32"/>
      <c r="U12" s="32"/>
      <c r="V12" s="32"/>
      <c r="W12" s="32"/>
      <c r="X12" s="32"/>
    </row>
    <row r="13" spans="1:24" s="6" customFormat="1" ht="14.1" customHeight="1" thickBot="1" x14ac:dyDescent="0.3">
      <c r="A13" s="50" t="s">
        <v>2</v>
      </c>
      <c r="B13" s="70">
        <f t="shared" ref="B13:N13" si="3">SUM(B14:B34)</f>
        <v>860131</v>
      </c>
      <c r="C13" s="70">
        <f t="shared" si="3"/>
        <v>668631</v>
      </c>
      <c r="D13" s="70">
        <f t="shared" si="3"/>
        <v>325630</v>
      </c>
      <c r="E13" s="70">
        <f t="shared" si="3"/>
        <v>326130</v>
      </c>
      <c r="F13" s="70">
        <f t="shared" si="3"/>
        <v>326631</v>
      </c>
      <c r="G13" s="70">
        <f t="shared" si="3"/>
        <v>333130</v>
      </c>
      <c r="H13" s="70">
        <f t="shared" si="3"/>
        <v>356131</v>
      </c>
      <c r="I13" s="70">
        <f t="shared" si="3"/>
        <v>306131</v>
      </c>
      <c r="J13" s="70">
        <f t="shared" si="3"/>
        <v>313631</v>
      </c>
      <c r="K13" s="70">
        <f t="shared" si="3"/>
        <v>306131</v>
      </c>
      <c r="L13" s="70">
        <f t="shared" si="3"/>
        <v>306131</v>
      </c>
      <c r="M13" s="70">
        <f t="shared" si="3"/>
        <v>402294</v>
      </c>
      <c r="N13" s="70">
        <f t="shared" si="3"/>
        <v>4830732</v>
      </c>
      <c r="O13" s="71"/>
      <c r="P13" s="32"/>
      <c r="Q13" s="32"/>
      <c r="R13" s="32"/>
      <c r="S13" s="32"/>
      <c r="T13" s="32"/>
      <c r="U13" s="32"/>
      <c r="V13" s="32"/>
      <c r="W13" s="32"/>
      <c r="X13" s="32"/>
    </row>
    <row r="14" spans="1:24" s="6" customFormat="1" ht="12" customHeight="1" x14ac:dyDescent="0.25">
      <c r="A14" s="49" t="s">
        <v>71</v>
      </c>
      <c r="B14" s="72">
        <f>ROUND(19%*B5,0)</f>
        <v>41268</v>
      </c>
      <c r="C14" s="72">
        <f t="shared" ref="C14:M14" si="4">ROUND(19%*C5,0)</f>
        <v>41268</v>
      </c>
      <c r="D14" s="72">
        <f t="shared" si="4"/>
        <v>41268</v>
      </c>
      <c r="E14" s="72">
        <f t="shared" si="4"/>
        <v>41268</v>
      </c>
      <c r="F14" s="72">
        <f t="shared" si="4"/>
        <v>41268</v>
      </c>
      <c r="G14" s="72">
        <f t="shared" si="4"/>
        <v>41268</v>
      </c>
      <c r="H14" s="72">
        <f t="shared" si="4"/>
        <v>41268</v>
      </c>
      <c r="I14" s="72">
        <f t="shared" si="4"/>
        <v>41268</v>
      </c>
      <c r="J14" s="72">
        <f t="shared" si="4"/>
        <v>41268</v>
      </c>
      <c r="K14" s="72">
        <f t="shared" si="4"/>
        <v>41268</v>
      </c>
      <c r="L14" s="72">
        <f t="shared" si="4"/>
        <v>41268</v>
      </c>
      <c r="M14" s="72">
        <f t="shared" si="4"/>
        <v>41268</v>
      </c>
      <c r="N14" s="61">
        <f>SUM(B14:M14)</f>
        <v>495216</v>
      </c>
      <c r="O14" s="69"/>
      <c r="P14" s="32"/>
      <c r="Q14" s="32"/>
      <c r="R14" s="32"/>
      <c r="S14" s="32"/>
      <c r="T14" s="32"/>
      <c r="U14" s="32"/>
      <c r="V14" s="32"/>
      <c r="W14" s="32"/>
      <c r="X14" s="32"/>
    </row>
    <row r="15" spans="1:24" ht="12.95" customHeight="1" x14ac:dyDescent="0.25">
      <c r="A15" s="127" t="s">
        <v>41</v>
      </c>
      <c r="B15" s="73">
        <v>1200</v>
      </c>
      <c r="C15" s="64">
        <v>1200</v>
      </c>
      <c r="D15" s="59">
        <v>1200</v>
      </c>
      <c r="E15" s="64">
        <v>1200</v>
      </c>
      <c r="F15" s="59">
        <v>1200</v>
      </c>
      <c r="G15" s="64">
        <v>1200</v>
      </c>
      <c r="H15" s="59">
        <v>1200</v>
      </c>
      <c r="I15" s="64">
        <v>1200</v>
      </c>
      <c r="J15" s="59">
        <v>1200</v>
      </c>
      <c r="K15" s="64">
        <v>1200</v>
      </c>
      <c r="L15" s="59">
        <v>1200</v>
      </c>
      <c r="M15" s="73">
        <v>1200</v>
      </c>
      <c r="N15" s="64">
        <f>SUM(B15:M15)</f>
        <v>14400</v>
      </c>
      <c r="O15" s="63"/>
      <c r="P15" s="31"/>
      <c r="Q15" s="31"/>
      <c r="R15" s="31"/>
      <c r="S15" s="31"/>
      <c r="T15" s="31"/>
      <c r="U15" s="31"/>
      <c r="V15" s="31"/>
      <c r="W15" s="31"/>
      <c r="X15" s="31"/>
    </row>
    <row r="16" spans="1:24" ht="14.1" customHeight="1" x14ac:dyDescent="0.25">
      <c r="A16" s="49" t="s">
        <v>58</v>
      </c>
      <c r="B16" s="73">
        <v>5000</v>
      </c>
      <c r="C16" s="64">
        <v>5000</v>
      </c>
      <c r="D16" s="59">
        <v>5000</v>
      </c>
      <c r="E16" s="64">
        <v>5000</v>
      </c>
      <c r="F16" s="59">
        <v>5000</v>
      </c>
      <c r="G16" s="64">
        <v>5000</v>
      </c>
      <c r="H16" s="59">
        <v>5000</v>
      </c>
      <c r="I16" s="64">
        <v>5000</v>
      </c>
      <c r="J16" s="59">
        <v>5000</v>
      </c>
      <c r="K16" s="64">
        <v>5000</v>
      </c>
      <c r="L16" s="59">
        <v>5000</v>
      </c>
      <c r="M16" s="73">
        <v>5000</v>
      </c>
      <c r="N16" s="64">
        <f t="shared" ref="N16:N34" si="5">SUM(B16:M16)</f>
        <v>60000</v>
      </c>
      <c r="O16" s="63"/>
      <c r="P16" s="31"/>
      <c r="Q16" s="31"/>
      <c r="R16" s="31"/>
      <c r="S16" s="31"/>
      <c r="T16" s="31"/>
      <c r="U16" s="31"/>
      <c r="V16" s="31"/>
      <c r="W16" s="31"/>
      <c r="X16" s="31"/>
    </row>
    <row r="17" spans="1:24" ht="14.1" customHeight="1" x14ac:dyDescent="0.25">
      <c r="A17" s="49" t="s">
        <v>54</v>
      </c>
      <c r="B17" s="73">
        <v>3000</v>
      </c>
      <c r="C17" s="64">
        <v>10000</v>
      </c>
      <c r="D17" s="59">
        <v>10000</v>
      </c>
      <c r="E17" s="64">
        <v>17500</v>
      </c>
      <c r="F17" s="59">
        <v>17500</v>
      </c>
      <c r="G17" s="64">
        <v>17500</v>
      </c>
      <c r="H17" s="59">
        <v>17500</v>
      </c>
      <c r="I17" s="64">
        <v>17500</v>
      </c>
      <c r="J17" s="59">
        <v>17500</v>
      </c>
      <c r="K17" s="64">
        <v>17500</v>
      </c>
      <c r="L17" s="59">
        <v>17500</v>
      </c>
      <c r="M17" s="73">
        <v>17500</v>
      </c>
      <c r="N17" s="64">
        <f>SUM(B17:M17)</f>
        <v>180500</v>
      </c>
      <c r="O17" s="63"/>
      <c r="P17" s="31"/>
      <c r="Q17" s="31"/>
      <c r="R17" s="31"/>
      <c r="S17" s="31"/>
      <c r="T17" s="31"/>
      <c r="U17" s="31"/>
      <c r="V17" s="31"/>
      <c r="W17" s="31"/>
      <c r="X17" s="31"/>
    </row>
    <row r="18" spans="1:24" ht="12" customHeight="1" x14ac:dyDescent="0.25">
      <c r="A18" s="49" t="s">
        <v>51</v>
      </c>
      <c r="B18" s="73">
        <v>500000</v>
      </c>
      <c r="C18" s="64">
        <v>500000</v>
      </c>
      <c r="D18" s="59">
        <v>150000</v>
      </c>
      <c r="E18" s="64">
        <v>150000</v>
      </c>
      <c r="F18" s="59">
        <v>150000</v>
      </c>
      <c r="G18" s="64">
        <v>150000</v>
      </c>
      <c r="H18" s="59">
        <v>150000</v>
      </c>
      <c r="I18" s="64">
        <v>150000</v>
      </c>
      <c r="J18" s="59">
        <v>150000</v>
      </c>
      <c r="K18" s="64">
        <v>150000</v>
      </c>
      <c r="L18" s="59">
        <v>150000</v>
      </c>
      <c r="M18" s="73">
        <v>150000</v>
      </c>
      <c r="N18" s="64">
        <f t="shared" si="5"/>
        <v>2500000</v>
      </c>
      <c r="O18" s="63"/>
      <c r="P18" s="31"/>
      <c r="Q18" s="31"/>
      <c r="R18" s="31"/>
      <c r="S18" s="31"/>
      <c r="T18" s="31"/>
      <c r="U18" s="31"/>
      <c r="V18" s="31"/>
      <c r="W18" s="31"/>
      <c r="X18" s="31"/>
    </row>
    <row r="19" spans="1:24" ht="12.95" customHeight="1" x14ac:dyDescent="0.25">
      <c r="A19" s="49" t="s">
        <v>35</v>
      </c>
      <c r="B19" s="73">
        <v>4221</v>
      </c>
      <c r="C19" s="64">
        <v>4265</v>
      </c>
      <c r="D19" s="64">
        <v>4309</v>
      </c>
      <c r="E19" s="64">
        <v>4354</v>
      </c>
      <c r="F19" s="64">
        <v>4400</v>
      </c>
      <c r="G19" s="64">
        <v>4445</v>
      </c>
      <c r="H19" s="64">
        <v>4492</v>
      </c>
      <c r="I19" s="64">
        <v>4539</v>
      </c>
      <c r="J19" s="64">
        <v>4586</v>
      </c>
      <c r="K19" s="64">
        <v>4634</v>
      </c>
      <c r="L19" s="64">
        <v>4682</v>
      </c>
      <c r="M19" s="73">
        <v>4731</v>
      </c>
      <c r="N19" s="64">
        <f t="shared" si="5"/>
        <v>53658</v>
      </c>
      <c r="O19" s="63"/>
      <c r="P19" s="31"/>
      <c r="Q19" s="31"/>
      <c r="R19" s="31"/>
      <c r="S19" s="31"/>
      <c r="T19" s="31"/>
      <c r="U19" s="31"/>
      <c r="V19" s="31"/>
      <c r="W19" s="31"/>
      <c r="X19" s="31"/>
    </row>
    <row r="20" spans="1:24" s="3" customFormat="1" ht="12" customHeight="1" x14ac:dyDescent="0.25">
      <c r="A20" s="49" t="s">
        <v>56</v>
      </c>
      <c r="B20" s="73">
        <v>10417</v>
      </c>
      <c r="C20" s="64">
        <v>10373</v>
      </c>
      <c r="D20" s="59">
        <v>10328</v>
      </c>
      <c r="E20" s="64">
        <v>10283</v>
      </c>
      <c r="F20" s="59">
        <v>10238</v>
      </c>
      <c r="G20" s="64">
        <v>10192</v>
      </c>
      <c r="H20" s="59">
        <v>10146</v>
      </c>
      <c r="I20" s="64">
        <v>10099</v>
      </c>
      <c r="J20" s="59">
        <v>10052</v>
      </c>
      <c r="K20" s="64">
        <v>10004</v>
      </c>
      <c r="L20" s="59">
        <v>9956</v>
      </c>
      <c r="M20" s="73">
        <v>99070</v>
      </c>
      <c r="N20" s="64">
        <f t="shared" si="5"/>
        <v>211158</v>
      </c>
      <c r="O20" s="63"/>
      <c r="P20" s="31"/>
      <c r="Q20" s="31"/>
      <c r="R20" s="31"/>
      <c r="S20" s="31"/>
      <c r="T20" s="31"/>
      <c r="U20" s="31"/>
      <c r="V20" s="31"/>
      <c r="W20" s="31"/>
      <c r="X20" s="31"/>
    </row>
    <row r="21" spans="1:24" ht="12" customHeight="1" x14ac:dyDescent="0.25">
      <c r="A21" s="49" t="s">
        <v>61</v>
      </c>
      <c r="B21" s="73">
        <v>39000</v>
      </c>
      <c r="C21" s="64">
        <v>39000</v>
      </c>
      <c r="D21" s="59">
        <v>39000</v>
      </c>
      <c r="E21" s="64">
        <v>39000</v>
      </c>
      <c r="F21" s="59">
        <v>39000</v>
      </c>
      <c r="G21" s="64">
        <v>39000</v>
      </c>
      <c r="H21" s="59">
        <v>39000</v>
      </c>
      <c r="I21" s="64">
        <v>39000</v>
      </c>
      <c r="J21" s="59">
        <v>39000</v>
      </c>
      <c r="K21" s="64">
        <v>39000</v>
      </c>
      <c r="L21" s="59">
        <v>39000</v>
      </c>
      <c r="M21" s="73">
        <v>39000</v>
      </c>
      <c r="N21" s="64">
        <f>M21+L21+K21+J21+I21+H21+G21+F21+E21+D21+C21+B21</f>
        <v>468000</v>
      </c>
      <c r="O21" s="63"/>
      <c r="P21" s="31"/>
      <c r="Q21" s="31"/>
      <c r="R21" s="31"/>
      <c r="S21" s="31"/>
      <c r="T21" s="31"/>
      <c r="U21" s="31"/>
      <c r="V21" s="31"/>
      <c r="W21" s="31"/>
      <c r="X21" s="31"/>
    </row>
    <row r="22" spans="1:24" ht="12" customHeight="1" x14ac:dyDescent="0.25">
      <c r="A22" s="49" t="s">
        <v>104</v>
      </c>
      <c r="B22" s="73">
        <v>0</v>
      </c>
      <c r="C22" s="64">
        <v>0</v>
      </c>
      <c r="D22" s="59">
        <v>7000</v>
      </c>
      <c r="E22" s="64">
        <v>0</v>
      </c>
      <c r="F22" s="59">
        <v>0</v>
      </c>
      <c r="G22" s="64">
        <v>7000</v>
      </c>
      <c r="H22" s="59">
        <v>0</v>
      </c>
      <c r="I22" s="64">
        <v>0</v>
      </c>
      <c r="J22" s="59">
        <v>7000</v>
      </c>
      <c r="K22" s="64">
        <v>0</v>
      </c>
      <c r="L22" s="59">
        <v>0</v>
      </c>
      <c r="M22" s="73">
        <v>7000</v>
      </c>
      <c r="N22" s="64">
        <f>M22+L22+K22+J22+I22+H22+G22+F22+E22+D22+C22+B22</f>
        <v>28000</v>
      </c>
      <c r="O22" s="63"/>
      <c r="P22" s="31"/>
      <c r="Q22" s="31"/>
      <c r="R22" s="31"/>
      <c r="S22" s="31"/>
      <c r="T22" s="31"/>
      <c r="U22" s="31"/>
      <c r="V22" s="31"/>
      <c r="W22" s="31"/>
      <c r="X22" s="31"/>
    </row>
    <row r="23" spans="1:24" ht="12" customHeight="1" x14ac:dyDescent="0.25">
      <c r="A23" s="49" t="s">
        <v>19</v>
      </c>
      <c r="B23" s="73">
        <v>3750</v>
      </c>
      <c r="C23" s="64">
        <v>3750</v>
      </c>
      <c r="D23" s="59">
        <v>3750</v>
      </c>
      <c r="E23" s="64">
        <v>3750</v>
      </c>
      <c r="F23" s="59">
        <v>3750</v>
      </c>
      <c r="G23" s="64">
        <v>3750</v>
      </c>
      <c r="H23" s="59">
        <v>3750</v>
      </c>
      <c r="I23" s="64">
        <v>3750</v>
      </c>
      <c r="J23" s="59">
        <v>3750</v>
      </c>
      <c r="K23" s="64">
        <v>3750</v>
      </c>
      <c r="L23" s="59">
        <v>3750</v>
      </c>
      <c r="M23" s="73">
        <v>3750</v>
      </c>
      <c r="N23" s="64">
        <f>M23+L23+K23+J23+I23+H23+G23+F23+E23+D23+C23+B23</f>
        <v>45000</v>
      </c>
      <c r="O23" s="63"/>
      <c r="P23" s="31"/>
      <c r="Q23" s="31"/>
      <c r="R23" s="31"/>
      <c r="S23" s="31"/>
      <c r="T23" s="31"/>
      <c r="U23" s="31"/>
      <c r="V23" s="31"/>
      <c r="W23" s="31"/>
      <c r="X23" s="31"/>
    </row>
    <row r="24" spans="1:24" ht="12" customHeight="1" x14ac:dyDescent="0.25">
      <c r="A24" s="49" t="s">
        <v>59</v>
      </c>
      <c r="B24" s="73">
        <v>1250</v>
      </c>
      <c r="C24" s="64">
        <v>1250</v>
      </c>
      <c r="D24" s="59">
        <v>1250</v>
      </c>
      <c r="E24" s="64">
        <v>1250</v>
      </c>
      <c r="F24" s="59">
        <v>1250</v>
      </c>
      <c r="G24" s="64">
        <v>1250</v>
      </c>
      <c r="H24" s="59">
        <v>1250</v>
      </c>
      <c r="I24" s="64">
        <v>1250</v>
      </c>
      <c r="J24" s="59">
        <v>1250</v>
      </c>
      <c r="K24" s="64">
        <v>1250</v>
      </c>
      <c r="L24" s="59">
        <v>1250</v>
      </c>
      <c r="M24" s="73">
        <v>1250</v>
      </c>
      <c r="N24" s="64">
        <f t="shared" si="5"/>
        <v>15000</v>
      </c>
      <c r="O24" s="63"/>
      <c r="P24" s="31"/>
      <c r="Q24" s="31"/>
      <c r="R24" s="31"/>
      <c r="S24" s="31"/>
      <c r="T24" s="31"/>
      <c r="U24" s="31"/>
      <c r="V24" s="31"/>
      <c r="W24" s="31"/>
      <c r="X24" s="31"/>
    </row>
    <row r="25" spans="1:24" ht="12" customHeight="1" x14ac:dyDescent="0.25">
      <c r="A25" s="49" t="s">
        <v>60</v>
      </c>
      <c r="B25" s="73">
        <v>15000</v>
      </c>
      <c r="C25" s="64">
        <v>15000</v>
      </c>
      <c r="D25" s="59">
        <v>15000</v>
      </c>
      <c r="E25" s="64">
        <v>15000</v>
      </c>
      <c r="F25" s="59">
        <v>15000</v>
      </c>
      <c r="G25" s="64">
        <v>15000</v>
      </c>
      <c r="H25" s="59">
        <v>15000</v>
      </c>
      <c r="I25" s="64">
        <v>15000</v>
      </c>
      <c r="J25" s="59">
        <v>15000</v>
      </c>
      <c r="K25" s="64">
        <v>15000</v>
      </c>
      <c r="L25" s="59">
        <v>15000</v>
      </c>
      <c r="M25" s="73">
        <v>15000</v>
      </c>
      <c r="N25" s="64">
        <f t="shared" si="5"/>
        <v>180000</v>
      </c>
      <c r="O25" s="63"/>
      <c r="P25" s="31"/>
      <c r="Q25" s="31"/>
      <c r="R25" s="31"/>
      <c r="S25" s="31"/>
      <c r="T25" s="31"/>
      <c r="U25" s="31"/>
      <c r="V25" s="31"/>
      <c r="W25" s="31"/>
      <c r="X25" s="31"/>
    </row>
    <row r="26" spans="1:24" ht="12" customHeight="1" x14ac:dyDescent="0.25">
      <c r="A26" s="49" t="s">
        <v>45</v>
      </c>
      <c r="B26" s="73">
        <v>500</v>
      </c>
      <c r="C26" s="64">
        <v>0</v>
      </c>
      <c r="D26" s="59">
        <v>0</v>
      </c>
      <c r="E26" s="64">
        <v>0</v>
      </c>
      <c r="F26" s="59">
        <v>500</v>
      </c>
      <c r="G26" s="64">
        <v>0</v>
      </c>
      <c r="H26" s="59">
        <v>0</v>
      </c>
      <c r="I26" s="64">
        <v>0</v>
      </c>
      <c r="J26" s="59">
        <v>500</v>
      </c>
      <c r="K26" s="64">
        <v>0</v>
      </c>
      <c r="L26" s="59">
        <v>0</v>
      </c>
      <c r="M26" s="73">
        <v>0</v>
      </c>
      <c r="N26" s="64">
        <f t="shared" si="5"/>
        <v>1500</v>
      </c>
      <c r="O26" s="63"/>
      <c r="P26" s="31"/>
      <c r="Q26" s="31"/>
      <c r="R26" s="31"/>
      <c r="S26" s="31"/>
      <c r="T26" s="31"/>
      <c r="U26" s="31"/>
      <c r="V26" s="31"/>
      <c r="W26" s="31"/>
      <c r="X26" s="31"/>
    </row>
    <row r="27" spans="1:24" ht="12" customHeight="1" x14ac:dyDescent="0.25">
      <c r="A27" s="49" t="s">
        <v>46</v>
      </c>
      <c r="B27" s="73">
        <v>1500</v>
      </c>
      <c r="C27" s="64">
        <v>1500</v>
      </c>
      <c r="D27" s="59">
        <v>1500</v>
      </c>
      <c r="E27" s="64">
        <v>1500</v>
      </c>
      <c r="F27" s="59">
        <v>1500</v>
      </c>
      <c r="G27" s="64">
        <v>1500</v>
      </c>
      <c r="H27" s="59">
        <v>1500</v>
      </c>
      <c r="I27" s="64">
        <v>1500</v>
      </c>
      <c r="J27" s="59">
        <v>1500</v>
      </c>
      <c r="K27" s="64">
        <v>1500</v>
      </c>
      <c r="L27" s="59">
        <v>1500</v>
      </c>
      <c r="M27" s="73">
        <v>1500</v>
      </c>
      <c r="N27" s="64">
        <f t="shared" si="5"/>
        <v>18000</v>
      </c>
      <c r="O27" s="63"/>
      <c r="P27" s="31"/>
      <c r="Q27" s="31"/>
      <c r="R27" s="31"/>
      <c r="S27" s="31"/>
      <c r="T27" s="31"/>
      <c r="U27" s="31"/>
      <c r="V27" s="31"/>
      <c r="W27" s="31"/>
      <c r="X27" s="31"/>
    </row>
    <row r="28" spans="1:24" ht="12" customHeight="1" x14ac:dyDescent="0.25">
      <c r="A28" s="49" t="s">
        <v>44</v>
      </c>
      <c r="B28" s="73">
        <v>25</v>
      </c>
      <c r="C28" s="64">
        <v>25</v>
      </c>
      <c r="D28" s="59">
        <v>25</v>
      </c>
      <c r="E28" s="64">
        <v>25</v>
      </c>
      <c r="F28" s="59">
        <v>25</v>
      </c>
      <c r="G28" s="64">
        <v>25</v>
      </c>
      <c r="H28" s="59">
        <v>25</v>
      </c>
      <c r="I28" s="64">
        <v>25</v>
      </c>
      <c r="J28" s="59">
        <v>25</v>
      </c>
      <c r="K28" s="64">
        <v>25</v>
      </c>
      <c r="L28" s="59">
        <v>25</v>
      </c>
      <c r="M28" s="73">
        <v>25</v>
      </c>
      <c r="N28" s="64">
        <f t="shared" si="5"/>
        <v>300</v>
      </c>
      <c r="O28" s="63"/>
      <c r="P28" s="31"/>
      <c r="Q28" s="31"/>
      <c r="R28" s="31"/>
      <c r="S28" s="31"/>
      <c r="T28" s="31"/>
      <c r="U28" s="31"/>
      <c r="V28" s="31"/>
      <c r="W28" s="31"/>
      <c r="X28" s="31"/>
    </row>
    <row r="29" spans="1:24" ht="12" customHeight="1" x14ac:dyDescent="0.25">
      <c r="A29" s="49" t="s">
        <v>64</v>
      </c>
      <c r="B29" s="73">
        <v>1000</v>
      </c>
      <c r="C29" s="64">
        <v>1000</v>
      </c>
      <c r="D29" s="59">
        <v>1000</v>
      </c>
      <c r="E29" s="64">
        <v>1000</v>
      </c>
      <c r="F29" s="59">
        <v>1000</v>
      </c>
      <c r="G29" s="64">
        <v>1000</v>
      </c>
      <c r="H29" s="59">
        <v>1000</v>
      </c>
      <c r="I29" s="64">
        <v>1000</v>
      </c>
      <c r="J29" s="59">
        <v>1000</v>
      </c>
      <c r="K29" s="64">
        <v>1000</v>
      </c>
      <c r="L29" s="59">
        <v>1000</v>
      </c>
      <c r="M29" s="73">
        <v>1000</v>
      </c>
      <c r="N29" s="64">
        <f t="shared" si="5"/>
        <v>12000</v>
      </c>
      <c r="O29" s="63"/>
      <c r="P29" s="31"/>
      <c r="Q29" s="31"/>
      <c r="R29" s="31"/>
      <c r="S29" s="31"/>
      <c r="T29" s="31"/>
      <c r="U29" s="31"/>
      <c r="V29" s="31"/>
      <c r="W29" s="31"/>
      <c r="X29" s="31"/>
    </row>
    <row r="30" spans="1:24" ht="12" customHeight="1" x14ac:dyDescent="0.25">
      <c r="A30" s="126" t="s">
        <v>99</v>
      </c>
      <c r="B30" s="74">
        <v>20000</v>
      </c>
      <c r="C30" s="64">
        <v>20000</v>
      </c>
      <c r="D30" s="59">
        <v>20000</v>
      </c>
      <c r="E30" s="64">
        <v>20000</v>
      </c>
      <c r="F30" s="59">
        <v>20000</v>
      </c>
      <c r="G30" s="64">
        <v>20000</v>
      </c>
      <c r="H30" s="59">
        <v>0</v>
      </c>
      <c r="I30" s="64">
        <v>0</v>
      </c>
      <c r="J30" s="59">
        <v>0</v>
      </c>
      <c r="K30" s="64">
        <v>0</v>
      </c>
      <c r="L30" s="59">
        <v>0</v>
      </c>
      <c r="M30" s="73">
        <v>0</v>
      </c>
      <c r="N30" s="64">
        <f t="shared" si="5"/>
        <v>120000</v>
      </c>
      <c r="O30" s="63"/>
      <c r="P30" s="31"/>
      <c r="Q30" s="31"/>
      <c r="R30" s="31"/>
      <c r="S30" s="31"/>
      <c r="T30" s="31"/>
      <c r="U30" s="31"/>
      <c r="V30" s="31"/>
      <c r="W30" s="31"/>
      <c r="X30" s="31"/>
    </row>
    <row r="31" spans="1:24" ht="12" customHeight="1" x14ac:dyDescent="0.25">
      <c r="A31" s="126" t="s">
        <v>100</v>
      </c>
      <c r="B31" s="74">
        <v>15000</v>
      </c>
      <c r="C31" s="64">
        <v>15000</v>
      </c>
      <c r="D31" s="59">
        <v>15000</v>
      </c>
      <c r="E31" s="64">
        <v>15000</v>
      </c>
      <c r="F31" s="59">
        <v>15000</v>
      </c>
      <c r="G31" s="64">
        <v>15000</v>
      </c>
      <c r="H31" s="59">
        <v>15000</v>
      </c>
      <c r="I31" s="64">
        <v>15000</v>
      </c>
      <c r="J31" s="59">
        <v>15000</v>
      </c>
      <c r="K31" s="64">
        <v>15000</v>
      </c>
      <c r="L31" s="59">
        <v>15000</v>
      </c>
      <c r="M31" s="73">
        <v>15000</v>
      </c>
      <c r="N31" s="64">
        <f t="shared" si="5"/>
        <v>180000</v>
      </c>
      <c r="O31" s="63"/>
      <c r="P31" s="31"/>
      <c r="Q31" s="31"/>
      <c r="R31" s="31"/>
      <c r="S31" s="31"/>
      <c r="T31" s="31"/>
      <c r="U31" s="31"/>
      <c r="V31" s="31"/>
      <c r="W31" s="31"/>
      <c r="X31" s="31"/>
    </row>
    <row r="32" spans="1:24" ht="12" customHeight="1" x14ac:dyDescent="0.25">
      <c r="A32" s="49" t="s">
        <v>48</v>
      </c>
      <c r="B32" s="73">
        <v>0</v>
      </c>
      <c r="C32" s="64">
        <v>0</v>
      </c>
      <c r="D32" s="59">
        <v>0</v>
      </c>
      <c r="E32" s="64">
        <v>0</v>
      </c>
      <c r="F32" s="59">
        <v>0</v>
      </c>
      <c r="G32" s="64">
        <v>0</v>
      </c>
      <c r="H32" s="59">
        <v>0</v>
      </c>
      <c r="I32" s="64">
        <v>0</v>
      </c>
      <c r="J32" s="59">
        <v>0</v>
      </c>
      <c r="K32" s="64">
        <v>0</v>
      </c>
      <c r="L32" s="59">
        <v>0</v>
      </c>
      <c r="M32" s="73">
        <v>0</v>
      </c>
      <c r="N32" s="64">
        <f t="shared" si="5"/>
        <v>0</v>
      </c>
      <c r="O32" s="63"/>
      <c r="P32" s="31"/>
      <c r="Q32" s="31"/>
      <c r="R32" s="31"/>
      <c r="S32" s="31"/>
      <c r="T32" s="31"/>
      <c r="U32" s="31"/>
      <c r="V32" s="31"/>
      <c r="W32" s="31"/>
      <c r="X32" s="31"/>
    </row>
    <row r="33" spans="1:24" ht="12" customHeight="1" x14ac:dyDescent="0.25">
      <c r="A33" s="49" t="s">
        <v>62</v>
      </c>
      <c r="B33" s="73">
        <v>50000</v>
      </c>
      <c r="C33" s="64">
        <v>0</v>
      </c>
      <c r="D33" s="59">
        <v>0</v>
      </c>
      <c r="E33" s="64">
        <v>0</v>
      </c>
      <c r="F33" s="59">
        <v>0</v>
      </c>
      <c r="G33" s="64">
        <v>0</v>
      </c>
      <c r="H33" s="59">
        <v>50000</v>
      </c>
      <c r="I33" s="64">
        <v>0</v>
      </c>
      <c r="J33" s="59">
        <v>0</v>
      </c>
      <c r="K33" s="64">
        <v>0</v>
      </c>
      <c r="L33" s="59">
        <v>0</v>
      </c>
      <c r="M33" s="73">
        <v>0</v>
      </c>
      <c r="N33" s="64">
        <f t="shared" si="5"/>
        <v>100000</v>
      </c>
      <c r="O33" s="63"/>
      <c r="P33" s="31"/>
      <c r="Q33" s="31"/>
      <c r="R33" s="31"/>
      <c r="S33" s="31"/>
      <c r="T33" s="31"/>
      <c r="U33" s="31"/>
      <c r="V33" s="31"/>
      <c r="W33" s="31"/>
      <c r="X33" s="31"/>
    </row>
    <row r="34" spans="1:24" ht="12" customHeight="1" x14ac:dyDescent="0.25">
      <c r="A34" s="49" t="s">
        <v>98</v>
      </c>
      <c r="B34" s="73">
        <v>148000</v>
      </c>
      <c r="C34" s="64">
        <v>0</v>
      </c>
      <c r="D34" s="64">
        <v>0</v>
      </c>
      <c r="E34" s="64">
        <v>0</v>
      </c>
      <c r="F34" s="64">
        <v>0</v>
      </c>
      <c r="G34" s="64">
        <v>0</v>
      </c>
      <c r="H34" s="64">
        <v>0</v>
      </c>
      <c r="I34" s="64">
        <v>0</v>
      </c>
      <c r="J34" s="64">
        <v>0</v>
      </c>
      <c r="K34" s="64">
        <v>0</v>
      </c>
      <c r="L34" s="64">
        <v>0</v>
      </c>
      <c r="M34" s="73">
        <v>0</v>
      </c>
      <c r="N34" s="64">
        <f t="shared" si="5"/>
        <v>148000</v>
      </c>
      <c r="O34" s="63"/>
      <c r="P34" s="31"/>
      <c r="Q34" s="31"/>
      <c r="R34" s="31"/>
      <c r="S34" s="31"/>
      <c r="T34" s="31"/>
      <c r="U34" s="31"/>
      <c r="V34" s="31"/>
      <c r="W34" s="31"/>
      <c r="X34" s="31"/>
    </row>
    <row r="35" spans="1:24" ht="15" customHeight="1" thickBot="1" x14ac:dyDescent="0.3">
      <c r="A35" s="51" t="s">
        <v>6</v>
      </c>
      <c r="B35" s="76">
        <f t="shared" ref="B35:N35" si="6">B12-B13</f>
        <v>397069</v>
      </c>
      <c r="C35" s="76">
        <f t="shared" si="6"/>
        <v>-451431</v>
      </c>
      <c r="D35" s="76">
        <f t="shared" si="6"/>
        <v>-108430</v>
      </c>
      <c r="E35" s="76">
        <f t="shared" si="6"/>
        <v>-108930</v>
      </c>
      <c r="F35" s="76">
        <f t="shared" si="6"/>
        <v>-109431</v>
      </c>
      <c r="G35" s="76">
        <f t="shared" si="6"/>
        <v>-115930</v>
      </c>
      <c r="H35" s="76">
        <f t="shared" si="6"/>
        <v>-138931</v>
      </c>
      <c r="I35" s="76">
        <f t="shared" si="6"/>
        <v>-88931</v>
      </c>
      <c r="J35" s="76">
        <f t="shared" si="6"/>
        <v>-96431</v>
      </c>
      <c r="K35" s="76">
        <f t="shared" si="6"/>
        <v>-88931</v>
      </c>
      <c r="L35" s="76">
        <f t="shared" si="6"/>
        <v>-88931</v>
      </c>
      <c r="M35" s="76">
        <f t="shared" si="6"/>
        <v>-185094</v>
      </c>
      <c r="N35" s="76">
        <f t="shared" si="6"/>
        <v>-1184332</v>
      </c>
      <c r="O35" s="63"/>
      <c r="P35" s="31"/>
      <c r="Q35" s="31"/>
      <c r="R35" s="31"/>
      <c r="S35" s="31"/>
      <c r="T35" s="31"/>
      <c r="U35" s="31"/>
      <c r="V35" s="31"/>
      <c r="W35" s="31"/>
      <c r="X35" s="31"/>
    </row>
    <row r="36" spans="1:24" ht="5.0999999999999996" customHeight="1" thickTop="1" thickBot="1" x14ac:dyDescent="0.3">
      <c r="A36" s="49"/>
      <c r="B36" s="59"/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63"/>
      <c r="P36" s="31"/>
      <c r="Q36" s="31"/>
      <c r="R36" s="31"/>
      <c r="S36" s="31"/>
      <c r="T36" s="31"/>
      <c r="U36" s="31"/>
      <c r="V36" s="31"/>
      <c r="W36" s="31"/>
      <c r="X36" s="31"/>
    </row>
    <row r="37" spans="1:24" ht="12" customHeight="1" x14ac:dyDescent="0.25">
      <c r="A37" s="49" t="s">
        <v>3</v>
      </c>
      <c r="B37" s="77">
        <v>0</v>
      </c>
      <c r="C37" s="78">
        <f>B39</f>
        <v>397069</v>
      </c>
      <c r="D37" s="78">
        <f>C39</f>
        <v>-54362</v>
      </c>
      <c r="E37" s="78">
        <f t="shared" ref="E37:N37" si="7">D39</f>
        <v>-162792</v>
      </c>
      <c r="F37" s="78">
        <f t="shared" si="7"/>
        <v>-271722</v>
      </c>
      <c r="G37" s="78">
        <f t="shared" si="7"/>
        <v>-381153</v>
      </c>
      <c r="H37" s="78">
        <f t="shared" si="7"/>
        <v>-497083</v>
      </c>
      <c r="I37" s="78">
        <f t="shared" si="7"/>
        <v>-636014</v>
      </c>
      <c r="J37" s="78">
        <f t="shared" si="7"/>
        <v>-724945</v>
      </c>
      <c r="K37" s="78">
        <f t="shared" si="7"/>
        <v>-821376</v>
      </c>
      <c r="L37" s="78">
        <f t="shared" si="7"/>
        <v>-910307</v>
      </c>
      <c r="M37" s="78">
        <f t="shared" si="7"/>
        <v>-999238</v>
      </c>
      <c r="N37" s="62">
        <f t="shared" si="7"/>
        <v>-1184332</v>
      </c>
      <c r="O37" s="63"/>
      <c r="P37" s="31"/>
      <c r="Q37" s="31"/>
      <c r="R37" s="31"/>
      <c r="S37" s="31"/>
      <c r="T37" s="31"/>
      <c r="U37" s="31"/>
      <c r="V37" s="31"/>
      <c r="W37" s="31"/>
      <c r="X37" s="31"/>
    </row>
    <row r="38" spans="1:24" ht="12.95" customHeight="1" thickBot="1" x14ac:dyDescent="0.3">
      <c r="A38" s="49" t="s">
        <v>4</v>
      </c>
      <c r="B38" s="75">
        <f>B35</f>
        <v>397069</v>
      </c>
      <c r="C38" s="67">
        <f>C35</f>
        <v>-451431</v>
      </c>
      <c r="D38" s="67">
        <f t="shared" ref="D38:N38" si="8">D35</f>
        <v>-108430</v>
      </c>
      <c r="E38" s="67">
        <f t="shared" si="8"/>
        <v>-108930</v>
      </c>
      <c r="F38" s="67">
        <f t="shared" si="8"/>
        <v>-109431</v>
      </c>
      <c r="G38" s="67">
        <f t="shared" si="8"/>
        <v>-115930</v>
      </c>
      <c r="H38" s="67">
        <f t="shared" si="8"/>
        <v>-138931</v>
      </c>
      <c r="I38" s="67">
        <f t="shared" si="8"/>
        <v>-88931</v>
      </c>
      <c r="J38" s="67">
        <f t="shared" si="8"/>
        <v>-96431</v>
      </c>
      <c r="K38" s="67">
        <f t="shared" si="8"/>
        <v>-88931</v>
      </c>
      <c r="L38" s="67">
        <f t="shared" si="8"/>
        <v>-88931</v>
      </c>
      <c r="M38" s="67">
        <f t="shared" si="8"/>
        <v>-185094</v>
      </c>
      <c r="N38" s="79">
        <f t="shared" si="8"/>
        <v>-1184332</v>
      </c>
      <c r="O38" s="63"/>
      <c r="P38" s="31"/>
      <c r="Q38" s="31"/>
      <c r="R38" s="31"/>
      <c r="S38" s="31"/>
      <c r="T38" s="31"/>
      <c r="U38" s="31"/>
      <c r="V38" s="31"/>
      <c r="W38" s="31"/>
      <c r="X38" s="31"/>
    </row>
    <row r="39" spans="1:24" ht="12" customHeight="1" thickBot="1" x14ac:dyDescent="0.3">
      <c r="A39" s="51" t="s">
        <v>5</v>
      </c>
      <c r="B39" s="76">
        <f>B37+B38</f>
        <v>397069</v>
      </c>
      <c r="C39" s="76">
        <f t="shared" ref="C39:N39" si="9">C37+C38</f>
        <v>-54362</v>
      </c>
      <c r="D39" s="76">
        <f t="shared" si="9"/>
        <v>-162792</v>
      </c>
      <c r="E39" s="76">
        <f t="shared" si="9"/>
        <v>-271722</v>
      </c>
      <c r="F39" s="76">
        <f t="shared" si="9"/>
        <v>-381153</v>
      </c>
      <c r="G39" s="76">
        <f t="shared" si="9"/>
        <v>-497083</v>
      </c>
      <c r="H39" s="76">
        <f t="shared" si="9"/>
        <v>-636014</v>
      </c>
      <c r="I39" s="76">
        <f t="shared" si="9"/>
        <v>-724945</v>
      </c>
      <c r="J39" s="76">
        <f t="shared" si="9"/>
        <v>-821376</v>
      </c>
      <c r="K39" s="76">
        <f t="shared" si="9"/>
        <v>-910307</v>
      </c>
      <c r="L39" s="76">
        <f t="shared" si="9"/>
        <v>-999238</v>
      </c>
      <c r="M39" s="76">
        <f t="shared" si="9"/>
        <v>-1184332</v>
      </c>
      <c r="N39" s="76">
        <f t="shared" si="9"/>
        <v>-2368664</v>
      </c>
      <c r="O39" s="63"/>
      <c r="P39" s="31"/>
      <c r="Q39" s="31"/>
      <c r="R39" s="31"/>
      <c r="S39" s="31"/>
      <c r="T39" s="31"/>
      <c r="U39" s="31"/>
      <c r="V39" s="31"/>
      <c r="W39" s="31"/>
      <c r="X39" s="31"/>
    </row>
    <row r="40" spans="1:24" ht="15.75" thickTop="1" x14ac:dyDescent="0.25">
      <c r="A40" s="41"/>
      <c r="B40" s="63"/>
      <c r="C40" s="63"/>
      <c r="D40" s="63"/>
      <c r="E40" s="63"/>
      <c r="F40" s="63"/>
      <c r="G40" s="63"/>
      <c r="H40" s="63"/>
      <c r="I40" s="63"/>
      <c r="J40" s="63"/>
      <c r="K40" s="63"/>
      <c r="L40" s="63"/>
      <c r="M40" s="63"/>
      <c r="N40" s="63"/>
      <c r="O40" s="63"/>
      <c r="P40" s="31"/>
      <c r="Q40" s="31"/>
      <c r="R40" s="31"/>
      <c r="S40" s="31"/>
      <c r="T40" s="31"/>
      <c r="U40" s="31"/>
      <c r="V40" s="31"/>
      <c r="W40" s="31"/>
      <c r="X40" s="31"/>
    </row>
    <row r="42" spans="1:24" x14ac:dyDescent="0.25">
      <c r="A42" s="2" t="s">
        <v>101</v>
      </c>
    </row>
    <row r="43" spans="1:24" x14ac:dyDescent="0.25">
      <c r="A43" t="s">
        <v>116</v>
      </c>
    </row>
    <row r="44" spans="1:24" x14ac:dyDescent="0.25">
      <c r="A44" t="s">
        <v>102</v>
      </c>
    </row>
  </sheetData>
  <pageMargins left="0.7" right="0.7" top="0.75" bottom="0.75" header="0.3" footer="0.3"/>
  <pageSetup scale="80" orientation="landscape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44"/>
  <sheetViews>
    <sheetView topLeftCell="A36" zoomScale="238" workbookViewId="0">
      <selection activeCell="A14" sqref="A14"/>
    </sheetView>
  </sheetViews>
  <sheetFormatPr defaultColWidth="8.85546875" defaultRowHeight="15" x14ac:dyDescent="0.2"/>
  <cols>
    <col min="1" max="1" width="20.85546875" style="7" customWidth="1"/>
    <col min="2" max="2" width="12" style="7" customWidth="1"/>
    <col min="3" max="4" width="12.28515625" style="7" customWidth="1"/>
    <col min="5" max="5" width="12" style="7" customWidth="1"/>
    <col min="6" max="6" width="12.85546875" style="7" customWidth="1"/>
    <col min="7" max="7" width="2.140625" style="7" customWidth="1"/>
    <col min="8" max="16384" width="8.85546875" style="7"/>
  </cols>
  <sheetData>
    <row r="1" spans="1:8" s="8" customFormat="1" ht="15.75" x14ac:dyDescent="0.25">
      <c r="A1" s="8" t="s">
        <v>109</v>
      </c>
      <c r="E1" s="7"/>
      <c r="F1" s="7"/>
    </row>
    <row r="2" spans="1:8" s="8" customFormat="1" ht="8.1" customHeight="1" thickBot="1" x14ac:dyDescent="0.3">
      <c r="E2" s="7"/>
      <c r="F2" s="7"/>
    </row>
    <row r="3" spans="1:8" s="8" customFormat="1" ht="14.1" customHeight="1" thickBot="1" x14ac:dyDescent="0.3">
      <c r="A3" s="35" t="s">
        <v>7</v>
      </c>
      <c r="B3" s="36" t="s">
        <v>8</v>
      </c>
      <c r="C3" s="36" t="s">
        <v>9</v>
      </c>
      <c r="D3" s="36" t="s">
        <v>10</v>
      </c>
      <c r="E3" s="36" t="s">
        <v>11</v>
      </c>
      <c r="F3" s="37" t="s">
        <v>12</v>
      </c>
      <c r="G3" s="33"/>
    </row>
    <row r="4" spans="1:8" ht="17.100000000000001" customHeight="1" x14ac:dyDescent="0.2">
      <c r="A4" s="38" t="s">
        <v>1</v>
      </c>
      <c r="B4" s="80"/>
      <c r="C4" s="80"/>
      <c r="D4" s="80"/>
      <c r="E4" s="80"/>
      <c r="F4" s="80"/>
      <c r="G4" s="81"/>
      <c r="H4" s="82"/>
    </row>
    <row r="5" spans="1:8" ht="15" customHeight="1" thickBot="1" x14ac:dyDescent="0.25">
      <c r="A5" s="128" t="s">
        <v>40</v>
      </c>
      <c r="B5" s="83">
        <f>'12 Months cash flow statement'!N5</f>
        <v>2606400</v>
      </c>
      <c r="C5" s="83">
        <f>SUM(C6:C9)</f>
        <v>4819140</v>
      </c>
      <c r="D5" s="83">
        <f>SUM(D6:D9)</f>
        <v>7759140</v>
      </c>
      <c r="E5" s="83">
        <f>SUM(E6:E9)</f>
        <v>9215464</v>
      </c>
      <c r="F5" s="83">
        <f t="shared" ref="F5" si="0">SUM(F6:F9)</f>
        <v>12549632</v>
      </c>
      <c r="G5" s="81"/>
      <c r="H5" s="82"/>
    </row>
    <row r="6" spans="1:8" ht="18" customHeight="1" x14ac:dyDescent="0.2">
      <c r="A6" s="39" t="s">
        <v>117</v>
      </c>
      <c r="B6" s="84">
        <f>'12 Months cash flow statement'!N6</f>
        <v>504000</v>
      </c>
      <c r="C6" s="85">
        <v>915600</v>
      </c>
      <c r="D6" s="84">
        <v>1898400</v>
      </c>
      <c r="E6" s="85">
        <v>2269160</v>
      </c>
      <c r="F6" s="84">
        <v>2689348</v>
      </c>
      <c r="G6" s="81"/>
      <c r="H6" s="82"/>
    </row>
    <row r="7" spans="1:8" ht="12.95" customHeight="1" x14ac:dyDescent="0.2">
      <c r="A7" s="39" t="s">
        <v>118</v>
      </c>
      <c r="B7" s="86">
        <f>'12 Months cash flow statement'!N7</f>
        <v>1080000</v>
      </c>
      <c r="C7" s="83">
        <v>2046180</v>
      </c>
      <c r="D7" s="86">
        <v>2988000</v>
      </c>
      <c r="E7" s="83">
        <v>3988800</v>
      </c>
      <c r="F7" s="86">
        <v>5012640</v>
      </c>
      <c r="G7" s="81"/>
      <c r="H7" s="82"/>
    </row>
    <row r="8" spans="1:8" ht="12.95" customHeight="1" x14ac:dyDescent="0.2">
      <c r="A8" s="39" t="s">
        <v>119</v>
      </c>
      <c r="B8" s="86">
        <f>'12 Months cash flow statement'!N8</f>
        <v>691200</v>
      </c>
      <c r="C8" s="83">
        <v>1255680</v>
      </c>
      <c r="D8" s="86">
        <v>2142720</v>
      </c>
      <c r="E8" s="83">
        <v>2078304</v>
      </c>
      <c r="F8" s="86">
        <v>3742772</v>
      </c>
      <c r="G8" s="81"/>
      <c r="H8" s="82"/>
    </row>
    <row r="9" spans="1:8" ht="12.95" customHeight="1" thickBot="1" x14ac:dyDescent="0.25">
      <c r="A9" s="39" t="s">
        <v>120</v>
      </c>
      <c r="B9" s="87">
        <f>'12 Months cash flow statement'!N9</f>
        <v>331200</v>
      </c>
      <c r="C9" s="88">
        <f>'Revenue Forecast'!C57+'Revenue Forecast'!B63</f>
        <v>601680</v>
      </c>
      <c r="D9" s="88">
        <f>'Revenue Forecast'!D57+'Revenue Forecast'!C63</f>
        <v>730020</v>
      </c>
      <c r="E9" s="88">
        <f>'Revenue Forecast'!E57+'Revenue Forecast'!D63</f>
        <v>879200</v>
      </c>
      <c r="F9" s="88">
        <f>'Revenue Forecast'!F57+'Revenue Forecast'!E63</f>
        <v>1104872</v>
      </c>
      <c r="G9" s="81"/>
      <c r="H9" s="82"/>
    </row>
    <row r="10" spans="1:8" ht="12.95" customHeight="1" x14ac:dyDescent="0.2">
      <c r="A10" s="39" t="str">
        <f>'12 Months cash flow statement'!A10</f>
        <v>owner's contributions</v>
      </c>
      <c r="B10" s="83">
        <f>'12 Months cash flow statement'!B10</f>
        <v>40000</v>
      </c>
      <c r="C10" s="83">
        <v>0</v>
      </c>
      <c r="D10" s="83">
        <v>0</v>
      </c>
      <c r="E10" s="89">
        <v>0</v>
      </c>
      <c r="F10" s="83">
        <f t="shared" ref="F10:F11" si="1">ROUND(E10*115/100,0)</f>
        <v>0</v>
      </c>
      <c r="G10" s="81"/>
      <c r="H10" s="82"/>
    </row>
    <row r="11" spans="1:8" ht="15" customHeight="1" thickBot="1" x14ac:dyDescent="0.25">
      <c r="A11" s="39" t="s">
        <v>34</v>
      </c>
      <c r="B11" s="88">
        <f>'12 Months cash flow statement'!N11</f>
        <v>1000000</v>
      </c>
      <c r="C11" s="88">
        <f>'12 Months cash flow statement'!O11</f>
        <v>0</v>
      </c>
      <c r="D11" s="88">
        <f>'12 Months cash flow statement'!P11</f>
        <v>0</v>
      </c>
      <c r="E11" s="88">
        <f>'12 Months cash flow statement'!Q11</f>
        <v>0</v>
      </c>
      <c r="F11" s="88">
        <f t="shared" si="1"/>
        <v>0</v>
      </c>
      <c r="G11" s="81"/>
      <c r="H11" s="82"/>
    </row>
    <row r="12" spans="1:8" ht="15.95" customHeight="1" x14ac:dyDescent="0.2">
      <c r="A12" s="38" t="s">
        <v>13</v>
      </c>
      <c r="B12" s="80">
        <f>B5+B10+B11</f>
        <v>3646400</v>
      </c>
      <c r="C12" s="80">
        <f>C5+C10+C11</f>
        <v>4819140</v>
      </c>
      <c r="D12" s="80">
        <f>D5+D10+D11</f>
        <v>7759140</v>
      </c>
      <c r="E12" s="80">
        <f>E5+E10+E11</f>
        <v>9215464</v>
      </c>
      <c r="F12" s="80">
        <f>F5+F10+F11</f>
        <v>12549632</v>
      </c>
      <c r="G12" s="81"/>
      <c r="H12" s="82"/>
    </row>
    <row r="13" spans="1:8" ht="15.95" customHeight="1" thickBot="1" x14ac:dyDescent="0.25">
      <c r="A13" s="38" t="s">
        <v>2</v>
      </c>
      <c r="B13" s="83">
        <f>SUM(B14:B34)</f>
        <v>4830732</v>
      </c>
      <c r="C13" s="83">
        <f>SUM(C14:C34)</f>
        <v>5433111</v>
      </c>
      <c r="D13" s="83">
        <f>SUM(D14:D34)</f>
        <v>6335496</v>
      </c>
      <c r="E13" s="83">
        <f>SUM(E14:E34)</f>
        <v>7523667</v>
      </c>
      <c r="F13" s="83">
        <f>SUM(F14:F34)</f>
        <v>8090558</v>
      </c>
      <c r="G13" s="81"/>
      <c r="H13" s="82"/>
    </row>
    <row r="14" spans="1:8" ht="15.95" customHeight="1" x14ac:dyDescent="0.2">
      <c r="A14" s="39" t="s">
        <v>70</v>
      </c>
      <c r="B14" s="90">
        <f>'12 Months cash flow statement'!N14</f>
        <v>495216</v>
      </c>
      <c r="C14" s="85">
        <f>ROUND(19%*C5,0)</f>
        <v>915637</v>
      </c>
      <c r="D14" s="85">
        <f>ROUND(19%*D5,0)</f>
        <v>1474237</v>
      </c>
      <c r="E14" s="85">
        <f>ROUND(25%*E5,0)</f>
        <v>2303866</v>
      </c>
      <c r="F14" s="91">
        <f>ROUND(25%*F5,0)</f>
        <v>3137408</v>
      </c>
      <c r="G14" s="81"/>
      <c r="H14" s="82"/>
    </row>
    <row r="15" spans="1:8" ht="15.95" customHeight="1" x14ac:dyDescent="0.2">
      <c r="A15" s="39" t="str">
        <f>'12 Months cash flow statement'!A15</f>
        <v>Bank Charges</v>
      </c>
      <c r="B15" s="92">
        <f>'12 Months cash flow statement'!N15</f>
        <v>14400</v>
      </c>
      <c r="C15" s="83">
        <f>B15</f>
        <v>14400</v>
      </c>
      <c r="D15" s="83">
        <v>14400</v>
      </c>
      <c r="E15" s="83">
        <f>D15</f>
        <v>14400</v>
      </c>
      <c r="F15" s="93">
        <f>E15</f>
        <v>14400</v>
      </c>
      <c r="G15" s="81"/>
      <c r="H15" s="82"/>
    </row>
    <row r="16" spans="1:8" ht="15" customHeight="1" x14ac:dyDescent="0.2">
      <c r="A16" s="39" t="str">
        <f>'12 Months cash flow statement'!A16</f>
        <v>Accounting &amp; Audit fees</v>
      </c>
      <c r="B16" s="92">
        <f>'12 Months cash flow statement'!N16</f>
        <v>60000</v>
      </c>
      <c r="C16" s="83">
        <v>63000</v>
      </c>
      <c r="D16" s="83">
        <v>68040</v>
      </c>
      <c r="E16" s="83">
        <v>72122</v>
      </c>
      <c r="F16" s="93">
        <v>76450</v>
      </c>
      <c r="G16" s="81"/>
      <c r="H16" s="82"/>
    </row>
    <row r="17" spans="1:8" ht="12.95" customHeight="1" x14ac:dyDescent="0.2">
      <c r="A17" s="39" t="str">
        <f>'12 Months cash flow statement'!A17</f>
        <v>Fuel &amp; Delivery</v>
      </c>
      <c r="B17" s="92">
        <f>'12 Months cash flow statement'!N17</f>
        <v>180500</v>
      </c>
      <c r="C17" s="83">
        <f t="shared" ref="C17:C24" si="2">B17</f>
        <v>180500</v>
      </c>
      <c r="D17" s="83">
        <v>190000</v>
      </c>
      <c r="E17" s="83">
        <v>190000</v>
      </c>
      <c r="F17" s="93">
        <f t="shared" ref="F17:F22" si="3">E17</f>
        <v>190000</v>
      </c>
      <c r="G17" s="81"/>
      <c r="H17" s="82"/>
    </row>
    <row r="18" spans="1:8" ht="15.95" customHeight="1" x14ac:dyDescent="0.2">
      <c r="A18" s="39" t="str">
        <f>'12 Months cash flow statement'!A18</f>
        <v>Advertising</v>
      </c>
      <c r="B18" s="92">
        <f>'12 Months cash flow statement'!N18</f>
        <v>2500000</v>
      </c>
      <c r="C18" s="89">
        <v>2500000</v>
      </c>
      <c r="D18" s="89">
        <v>2500000</v>
      </c>
      <c r="E18" s="83">
        <f>D18</f>
        <v>2500000</v>
      </c>
      <c r="F18" s="93">
        <v>1500000</v>
      </c>
      <c r="G18" s="81"/>
      <c r="H18" s="82"/>
    </row>
    <row r="19" spans="1:8" ht="18.95" customHeight="1" x14ac:dyDescent="0.2">
      <c r="A19" s="39" t="str">
        <f>'12 Months cash flow statement'!A19</f>
        <v>Loan repayments</v>
      </c>
      <c r="B19" s="92">
        <f>'12 Months cash flow statement'!N19</f>
        <v>53658</v>
      </c>
      <c r="C19" s="83">
        <v>60761</v>
      </c>
      <c r="D19" s="83">
        <v>60807</v>
      </c>
      <c r="E19" s="83">
        <v>77918</v>
      </c>
      <c r="F19" s="93">
        <v>88236</v>
      </c>
      <c r="G19" s="81"/>
      <c r="H19" s="82"/>
    </row>
    <row r="20" spans="1:8" ht="12.95" customHeight="1" x14ac:dyDescent="0.2">
      <c r="A20" s="39" t="s">
        <v>56</v>
      </c>
      <c r="B20" s="92">
        <f>'12 Months cash flow statement'!N20</f>
        <v>211158</v>
      </c>
      <c r="C20" s="83">
        <v>114890</v>
      </c>
      <c r="D20" s="83">
        <v>106844</v>
      </c>
      <c r="E20" s="83">
        <v>97733</v>
      </c>
      <c r="F20" s="93">
        <v>87415</v>
      </c>
      <c r="G20" s="81"/>
      <c r="H20" s="82"/>
    </row>
    <row r="21" spans="1:8" ht="18" customHeight="1" x14ac:dyDescent="0.2">
      <c r="A21" s="39" t="str">
        <f>'12 Months cash flow statement'!A21</f>
        <v>Wages &amp; Salaries</v>
      </c>
      <c r="B21" s="92">
        <f>'12 Months cash flow statement'!N21</f>
        <v>468000</v>
      </c>
      <c r="C21" s="89">
        <v>800000</v>
      </c>
      <c r="D21" s="89">
        <v>1200000</v>
      </c>
      <c r="E21" s="89">
        <v>1500000</v>
      </c>
      <c r="F21" s="93">
        <v>2000000</v>
      </c>
      <c r="G21" s="81"/>
      <c r="H21" s="82"/>
    </row>
    <row r="22" spans="1:8" ht="15.95" customHeight="1" x14ac:dyDescent="0.2">
      <c r="A22" s="39" t="str">
        <f>'12 Months cash flow statement'!A22</f>
        <v>Repairs &amp; Maintenance</v>
      </c>
      <c r="B22" s="92">
        <f>'12 Months cash flow statement'!N22</f>
        <v>28000</v>
      </c>
      <c r="C22" s="89">
        <v>30000</v>
      </c>
      <c r="D22" s="89">
        <f>C22</f>
        <v>30000</v>
      </c>
      <c r="E22" s="89">
        <v>40000</v>
      </c>
      <c r="F22" s="93">
        <f t="shared" si="3"/>
        <v>40000</v>
      </c>
      <c r="G22" s="81"/>
      <c r="H22" s="82"/>
    </row>
    <row r="23" spans="1:8" ht="15" customHeight="1" x14ac:dyDescent="0.2">
      <c r="A23" s="39" t="str">
        <f>'12 Months cash flow statement'!A23</f>
        <v>insurance</v>
      </c>
      <c r="B23" s="92">
        <f>'12 Months cash flow statement'!N23</f>
        <v>45000</v>
      </c>
      <c r="C23" s="89">
        <f>B23*1.03</f>
        <v>46350</v>
      </c>
      <c r="D23" s="89">
        <f>C23*1.08</f>
        <v>50058</v>
      </c>
      <c r="E23" s="89">
        <f>ROUND(D23*1.05,0)</f>
        <v>52561</v>
      </c>
      <c r="F23" s="93">
        <v>58000</v>
      </c>
      <c r="G23" s="81"/>
      <c r="H23" s="82"/>
    </row>
    <row r="24" spans="1:8" ht="15" customHeight="1" x14ac:dyDescent="0.2">
      <c r="A24" s="39" t="str">
        <f>'12 Months cash flow statement'!A24</f>
        <v>Office Expenditure</v>
      </c>
      <c r="B24" s="92">
        <f>'12 Months cash flow statement'!N24</f>
        <v>15000</v>
      </c>
      <c r="C24" s="89">
        <f t="shared" si="2"/>
        <v>15000</v>
      </c>
      <c r="D24" s="89">
        <v>20000</v>
      </c>
      <c r="E24" s="89">
        <f>D24*1.02</f>
        <v>20400</v>
      </c>
      <c r="F24" s="93">
        <f>E24*1.04</f>
        <v>21216</v>
      </c>
      <c r="G24" s="81"/>
      <c r="H24" s="82"/>
    </row>
    <row r="25" spans="1:8" ht="12" customHeight="1" x14ac:dyDescent="0.2">
      <c r="A25" s="39" t="str">
        <f>'12 Months cash flow statement'!A25</f>
        <v>Rental, Water &amp; Electricity</v>
      </c>
      <c r="B25" s="92">
        <f>'12 Months cash flow statement'!N25</f>
        <v>180000</v>
      </c>
      <c r="C25" s="89">
        <f>ROUND(B25*1.1,0)</f>
        <v>198000</v>
      </c>
      <c r="D25" s="89">
        <f>ROUND(C25*1.1,0)</f>
        <v>217800</v>
      </c>
      <c r="E25" s="89">
        <f>ROUND(D25*1.1,0)</f>
        <v>239580</v>
      </c>
      <c r="F25" s="93">
        <f>ROUND(E25*1.1,0)</f>
        <v>263538</v>
      </c>
      <c r="G25" s="81"/>
      <c r="H25" s="82"/>
    </row>
    <row r="26" spans="1:8" ht="12.95" customHeight="1" x14ac:dyDescent="0.2">
      <c r="A26" s="39" t="str">
        <f>'12 Months cash flow statement'!A26</f>
        <v>Stationery</v>
      </c>
      <c r="B26" s="92">
        <f>'12 Months cash flow statement'!N26</f>
        <v>1500</v>
      </c>
      <c r="C26" s="89">
        <v>1500</v>
      </c>
      <c r="D26" s="89">
        <v>1500</v>
      </c>
      <c r="E26" s="89">
        <v>1500</v>
      </c>
      <c r="F26" s="93">
        <v>1500</v>
      </c>
      <c r="G26" s="81"/>
      <c r="H26" s="82"/>
    </row>
    <row r="27" spans="1:8" ht="21" customHeight="1" x14ac:dyDescent="0.2">
      <c r="A27" s="39" t="str">
        <f>'12 Months cash flow statement'!A27</f>
        <v>Telephone &amp; Internet</v>
      </c>
      <c r="B27" s="92">
        <f>'12 Months cash flow statement'!N27</f>
        <v>18000</v>
      </c>
      <c r="C27" s="89">
        <v>18000</v>
      </c>
      <c r="D27" s="89">
        <v>20000</v>
      </c>
      <c r="E27" s="89">
        <v>20000</v>
      </c>
      <c r="F27" s="93">
        <v>22000</v>
      </c>
      <c r="G27" s="81"/>
      <c r="H27" s="82"/>
    </row>
    <row r="28" spans="1:8" ht="21" customHeight="1" x14ac:dyDescent="0.2">
      <c r="A28" s="39" t="s">
        <v>44</v>
      </c>
      <c r="B28" s="92">
        <f>'12 Months cash flow statement'!N28</f>
        <v>300</v>
      </c>
      <c r="C28" s="89">
        <v>310</v>
      </c>
      <c r="D28" s="89">
        <v>330</v>
      </c>
      <c r="E28" s="89">
        <v>350</v>
      </c>
      <c r="F28" s="93">
        <v>350</v>
      </c>
      <c r="G28" s="81"/>
      <c r="H28" s="82"/>
    </row>
    <row r="29" spans="1:8" ht="21" customHeight="1" x14ac:dyDescent="0.2">
      <c r="A29" s="39" t="s">
        <v>65</v>
      </c>
      <c r="B29" s="92">
        <f>'12 Months cash flow statement'!N29</f>
        <v>12000</v>
      </c>
      <c r="C29" s="89">
        <v>12000</v>
      </c>
      <c r="D29" s="89">
        <v>15000</v>
      </c>
      <c r="E29" s="89">
        <v>15000</v>
      </c>
      <c r="F29" s="93">
        <v>18000</v>
      </c>
      <c r="G29" s="81"/>
      <c r="H29" s="82"/>
    </row>
    <row r="30" spans="1:8" ht="21" customHeight="1" x14ac:dyDescent="0.2">
      <c r="A30" s="20" t="s">
        <v>99</v>
      </c>
      <c r="B30" s="92">
        <f>'12 Months cash flow statement'!N30</f>
        <v>120000</v>
      </c>
      <c r="C30" s="89">
        <v>0</v>
      </c>
      <c r="D30" s="89">
        <v>0</v>
      </c>
      <c r="E30" s="89">
        <v>0</v>
      </c>
      <c r="F30" s="93">
        <f>B30*1.1</f>
        <v>132000</v>
      </c>
      <c r="G30" s="81"/>
      <c r="H30" s="82"/>
    </row>
    <row r="31" spans="1:8" ht="21" customHeight="1" x14ac:dyDescent="0.2">
      <c r="A31" s="20" t="s">
        <v>100</v>
      </c>
      <c r="B31" s="92">
        <f>'12 Months cash flow statement'!N31</f>
        <v>180000</v>
      </c>
      <c r="C31" s="89">
        <f>B31*1.05</f>
        <v>189000</v>
      </c>
      <c r="D31" s="89">
        <v>0</v>
      </c>
      <c r="E31" s="89">
        <v>0</v>
      </c>
      <c r="F31" s="93">
        <v>0</v>
      </c>
      <c r="G31" s="81"/>
      <c r="H31" s="82"/>
    </row>
    <row r="32" spans="1:8" ht="21" customHeight="1" x14ac:dyDescent="0.2">
      <c r="A32" s="39" t="s">
        <v>48</v>
      </c>
      <c r="B32" s="92">
        <f>'12 Months cash flow statement'!N32</f>
        <v>0</v>
      </c>
      <c r="C32" s="89">
        <v>273763</v>
      </c>
      <c r="D32" s="89">
        <v>366480</v>
      </c>
      <c r="E32" s="89">
        <v>378237</v>
      </c>
      <c r="F32" s="93">
        <v>410045</v>
      </c>
      <c r="G32" s="81"/>
      <c r="H32" s="82"/>
    </row>
    <row r="33" spans="1:8" ht="14.1" customHeight="1" x14ac:dyDescent="0.2">
      <c r="A33" s="39" t="str">
        <f>'12 Months cash flow statement'!A33</f>
        <v>Furniture &amp; Fittings</v>
      </c>
      <c r="B33" s="92">
        <f>'12 Months cash flow statement'!N33</f>
        <v>100000</v>
      </c>
      <c r="C33" s="89">
        <v>0</v>
      </c>
      <c r="D33" s="89">
        <v>0</v>
      </c>
      <c r="E33" s="89">
        <v>0</v>
      </c>
      <c r="F33" s="93">
        <v>30000</v>
      </c>
      <c r="G33" s="81"/>
      <c r="H33" s="82"/>
    </row>
    <row r="34" spans="1:8" ht="14.1" customHeight="1" thickBot="1" x14ac:dyDescent="0.25">
      <c r="A34" s="39" t="s">
        <v>103</v>
      </c>
      <c r="B34" s="92">
        <f>'12 Months cash flow statement'!B34</f>
        <v>148000</v>
      </c>
      <c r="C34" s="89">
        <v>0</v>
      </c>
      <c r="D34" s="89">
        <v>0</v>
      </c>
      <c r="E34" s="89">
        <v>0</v>
      </c>
      <c r="F34" s="93">
        <v>0</v>
      </c>
      <c r="G34" s="81"/>
      <c r="H34" s="82"/>
    </row>
    <row r="35" spans="1:8" x14ac:dyDescent="0.2">
      <c r="A35" s="39" t="s">
        <v>14</v>
      </c>
      <c r="B35" s="90">
        <f t="shared" ref="B35:F36" si="4">B12</f>
        <v>3646400</v>
      </c>
      <c r="C35" s="85">
        <f t="shared" si="4"/>
        <v>4819140</v>
      </c>
      <c r="D35" s="85">
        <f t="shared" si="4"/>
        <v>7759140</v>
      </c>
      <c r="E35" s="85">
        <f t="shared" si="4"/>
        <v>9215464</v>
      </c>
      <c r="F35" s="91">
        <f t="shared" si="4"/>
        <v>12549632</v>
      </c>
      <c r="G35" s="81"/>
      <c r="H35" s="82"/>
    </row>
    <row r="36" spans="1:8" x14ac:dyDescent="0.2">
      <c r="A36" s="39" t="s">
        <v>2</v>
      </c>
      <c r="B36" s="92">
        <f t="shared" si="4"/>
        <v>4830732</v>
      </c>
      <c r="C36" s="83">
        <f t="shared" si="4"/>
        <v>5433111</v>
      </c>
      <c r="D36" s="83">
        <f t="shared" si="4"/>
        <v>6335496</v>
      </c>
      <c r="E36" s="83">
        <f t="shared" si="4"/>
        <v>7523667</v>
      </c>
      <c r="F36" s="93">
        <f t="shared" si="4"/>
        <v>8090558</v>
      </c>
      <c r="G36" s="81"/>
      <c r="H36" s="82"/>
    </row>
    <row r="37" spans="1:8" ht="15.75" thickBot="1" x14ac:dyDescent="0.25">
      <c r="A37" s="38" t="s">
        <v>15</v>
      </c>
      <c r="B37" s="96">
        <f>B35-B36</f>
        <v>-1184332</v>
      </c>
      <c r="C37" s="96">
        <f t="shared" ref="C37:F37" si="5">C35-C36</f>
        <v>-613971</v>
      </c>
      <c r="D37" s="96">
        <f t="shared" si="5"/>
        <v>1423644</v>
      </c>
      <c r="E37" s="96">
        <f t="shared" si="5"/>
        <v>1691797</v>
      </c>
      <c r="F37" s="96">
        <f t="shared" si="5"/>
        <v>4459074</v>
      </c>
      <c r="G37" s="81"/>
      <c r="H37" s="82"/>
    </row>
    <row r="38" spans="1:8" ht="9.75" customHeight="1" thickTop="1" thickBot="1" x14ac:dyDescent="0.25">
      <c r="A38" s="39"/>
      <c r="B38" s="83"/>
      <c r="C38" s="83"/>
      <c r="D38" s="83"/>
      <c r="E38" s="83"/>
      <c r="F38" s="83"/>
      <c r="G38" s="81"/>
      <c r="H38" s="82"/>
    </row>
    <row r="39" spans="1:8" x14ac:dyDescent="0.2">
      <c r="A39" s="39" t="s">
        <v>3</v>
      </c>
      <c r="B39" s="90">
        <v>0</v>
      </c>
      <c r="C39" s="85">
        <f>B41</f>
        <v>-1184332</v>
      </c>
      <c r="D39" s="85">
        <f>C41</f>
        <v>-1798303</v>
      </c>
      <c r="E39" s="85">
        <f>D41</f>
        <v>-374659</v>
      </c>
      <c r="F39" s="91">
        <f>E41</f>
        <v>1317138</v>
      </c>
      <c r="G39" s="81"/>
      <c r="H39" s="82"/>
    </row>
    <row r="40" spans="1:8" ht="15.75" thickBot="1" x14ac:dyDescent="0.25">
      <c r="A40" s="39" t="s">
        <v>16</v>
      </c>
      <c r="B40" s="94">
        <f>B37</f>
        <v>-1184332</v>
      </c>
      <c r="C40" s="88">
        <f t="shared" ref="C40:F40" si="6">C37</f>
        <v>-613971</v>
      </c>
      <c r="D40" s="88">
        <f t="shared" si="6"/>
        <v>1423644</v>
      </c>
      <c r="E40" s="88">
        <f t="shared" si="6"/>
        <v>1691797</v>
      </c>
      <c r="F40" s="95">
        <f t="shared" si="6"/>
        <v>4459074</v>
      </c>
      <c r="G40" s="81"/>
      <c r="H40" s="82"/>
    </row>
    <row r="41" spans="1:8" ht="15.75" thickBot="1" x14ac:dyDescent="0.25">
      <c r="A41" s="38" t="s">
        <v>5</v>
      </c>
      <c r="B41" s="97">
        <f>B39+B40</f>
        <v>-1184332</v>
      </c>
      <c r="C41" s="97">
        <f>C40+C39</f>
        <v>-1798303</v>
      </c>
      <c r="D41" s="97">
        <f>D40+D39</f>
        <v>-374659</v>
      </c>
      <c r="E41" s="97">
        <f>E39+E40</f>
        <v>1317138</v>
      </c>
      <c r="F41" s="97">
        <f>F39+F40</f>
        <v>5776212</v>
      </c>
      <c r="G41" s="81"/>
      <c r="H41" s="82"/>
    </row>
    <row r="42" spans="1:8" ht="15.75" thickTop="1" x14ac:dyDescent="0.2">
      <c r="A42" s="34"/>
      <c r="B42" s="81"/>
      <c r="C42" s="81"/>
      <c r="D42" s="81"/>
      <c r="E42" s="81"/>
      <c r="F42" s="81"/>
      <c r="G42" s="81"/>
      <c r="H42" s="82"/>
    </row>
    <row r="43" spans="1:8" x14ac:dyDescent="0.2">
      <c r="B43" s="52"/>
      <c r="C43" s="52"/>
      <c r="D43" s="52"/>
      <c r="E43" s="52"/>
      <c r="F43" s="52"/>
      <c r="G43" s="52"/>
    </row>
    <row r="44" spans="1:8" x14ac:dyDescent="0.2">
      <c r="B44" s="52"/>
      <c r="C44" s="52"/>
      <c r="D44" s="52"/>
      <c r="E44" s="52"/>
      <c r="F44" s="52"/>
      <c r="G44" s="52"/>
    </row>
  </sheetData>
  <pageMargins left="0.7" right="0.7" top="0.75" bottom="0.75" header="0.3" footer="0.3"/>
  <pageSetup orientation="landscape" horizont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1185B6-3C40-6D49-9411-C71F85FADC81}">
  <dimension ref="A1:G85"/>
  <sheetViews>
    <sheetView topLeftCell="A89" workbookViewId="0">
      <selection activeCell="A77" sqref="A77"/>
    </sheetView>
  </sheetViews>
  <sheetFormatPr defaultColWidth="10.85546875" defaultRowHeight="14.25" x14ac:dyDescent="0.2"/>
  <cols>
    <col min="1" max="1" width="25.140625" style="9" customWidth="1"/>
    <col min="2" max="2" width="16.140625" style="9" customWidth="1"/>
    <col min="3" max="3" width="15.7109375" style="9" customWidth="1"/>
    <col min="4" max="4" width="17.140625" style="9" customWidth="1"/>
    <col min="5" max="5" width="15.42578125" style="9" customWidth="1"/>
    <col min="6" max="6" width="17.28515625" style="9" customWidth="1"/>
    <col min="7" max="16384" width="10.85546875" style="9"/>
  </cols>
  <sheetData>
    <row r="1" spans="1:7" ht="15" x14ac:dyDescent="0.25">
      <c r="A1" s="18" t="s">
        <v>108</v>
      </c>
      <c r="B1" s="18"/>
      <c r="C1" s="18"/>
    </row>
    <row r="3" spans="1:7" ht="15" x14ac:dyDescent="0.25">
      <c r="A3" s="53" t="s">
        <v>117</v>
      </c>
      <c r="B3" s="19" t="s">
        <v>8</v>
      </c>
      <c r="C3" s="19" t="s">
        <v>9</v>
      </c>
      <c r="D3" s="19" t="s">
        <v>10</v>
      </c>
      <c r="E3" s="54" t="s">
        <v>11</v>
      </c>
      <c r="F3" s="54" t="s">
        <v>12</v>
      </c>
      <c r="G3" s="17"/>
    </row>
    <row r="4" spans="1:7" ht="15" x14ac:dyDescent="0.25">
      <c r="A4" s="53" t="s">
        <v>67</v>
      </c>
      <c r="B4" s="98"/>
      <c r="C4" s="98"/>
      <c r="D4" s="98"/>
      <c r="E4" s="99"/>
      <c r="F4" s="99"/>
      <c r="G4" s="100"/>
    </row>
    <row r="5" spans="1:7" x14ac:dyDescent="0.2">
      <c r="A5" s="10" t="s">
        <v>36</v>
      </c>
      <c r="B5" s="101">
        <v>126000</v>
      </c>
      <c r="C5" s="102">
        <f>ROUND(115%*B5,0)</f>
        <v>144900</v>
      </c>
      <c r="D5" s="101">
        <v>378000</v>
      </c>
      <c r="E5" s="101">
        <f t="shared" ref="E5:E8" si="0">ROUND(D5*118%,0)</f>
        <v>446040</v>
      </c>
      <c r="F5" s="101">
        <f>ROUND(E5*130%,0)</f>
        <v>579852</v>
      </c>
      <c r="G5" s="100"/>
    </row>
    <row r="6" spans="1:7" x14ac:dyDescent="0.2">
      <c r="A6" s="10" t="s">
        <v>37</v>
      </c>
      <c r="B6" s="102">
        <v>126000</v>
      </c>
      <c r="C6" s="102">
        <f t="shared" ref="C6:C8" si="1">ROUND(115%*B6,0)</f>
        <v>144900</v>
      </c>
      <c r="D6" s="101">
        <v>378000</v>
      </c>
      <c r="E6" s="101">
        <f t="shared" si="0"/>
        <v>446040</v>
      </c>
      <c r="F6" s="101">
        <f t="shared" ref="F6:F8" si="2">ROUND(E6*130%,0)</f>
        <v>579852</v>
      </c>
      <c r="G6" s="100"/>
    </row>
    <row r="7" spans="1:7" x14ac:dyDescent="0.2">
      <c r="A7" s="10" t="s">
        <v>38</v>
      </c>
      <c r="B7" s="102">
        <v>126000</v>
      </c>
      <c r="C7" s="102">
        <f t="shared" si="1"/>
        <v>144900</v>
      </c>
      <c r="D7" s="101">
        <v>378000</v>
      </c>
      <c r="E7" s="101">
        <f t="shared" si="0"/>
        <v>446040</v>
      </c>
      <c r="F7" s="101">
        <f t="shared" si="2"/>
        <v>579852</v>
      </c>
      <c r="G7" s="100"/>
    </row>
    <row r="8" spans="1:7" x14ac:dyDescent="0.2">
      <c r="A8" s="10" t="s">
        <v>39</v>
      </c>
      <c r="B8" s="102">
        <v>126000</v>
      </c>
      <c r="C8" s="102">
        <f t="shared" si="1"/>
        <v>144900</v>
      </c>
      <c r="D8" s="101">
        <v>378000</v>
      </c>
      <c r="E8" s="101">
        <f t="shared" si="0"/>
        <v>446040</v>
      </c>
      <c r="F8" s="101">
        <f t="shared" si="2"/>
        <v>579852</v>
      </c>
      <c r="G8" s="100"/>
    </row>
    <row r="9" spans="1:7" ht="15" x14ac:dyDescent="0.25">
      <c r="A9" s="53" t="s">
        <v>66</v>
      </c>
      <c r="B9" s="103">
        <f>SUM(B5:B8)</f>
        <v>504000</v>
      </c>
      <c r="C9" s="103">
        <f t="shared" ref="C9:F9" si="3">SUM(C5:C8)</f>
        <v>579600</v>
      </c>
      <c r="D9" s="103">
        <f t="shared" si="3"/>
        <v>1512000</v>
      </c>
      <c r="E9" s="103">
        <f t="shared" si="3"/>
        <v>1784160</v>
      </c>
      <c r="F9" s="103">
        <f t="shared" si="3"/>
        <v>2319408</v>
      </c>
      <c r="G9" s="100"/>
    </row>
    <row r="10" spans="1:7" ht="15" x14ac:dyDescent="0.25">
      <c r="A10" s="53" t="s">
        <v>68</v>
      </c>
      <c r="B10" s="104"/>
      <c r="C10" s="104"/>
      <c r="D10" s="104"/>
      <c r="E10" s="104"/>
      <c r="F10" s="104"/>
      <c r="G10" s="100"/>
    </row>
    <row r="11" spans="1:7" x14ac:dyDescent="0.2">
      <c r="A11" s="12" t="s">
        <v>36</v>
      </c>
      <c r="B11" s="101">
        <v>84000</v>
      </c>
      <c r="C11" s="101">
        <f>ROUND(115%*B11,0)</f>
        <v>96600</v>
      </c>
      <c r="D11" s="101">
        <f>ROUND(C11*125%,0)</f>
        <v>120750</v>
      </c>
      <c r="E11" s="101">
        <f t="shared" ref="E11:E14" si="4">ROUND(D11*118%,0)</f>
        <v>142485</v>
      </c>
      <c r="F11" s="101">
        <f>ROUND(E11*130%,0)</f>
        <v>185231</v>
      </c>
      <c r="G11" s="100"/>
    </row>
    <row r="12" spans="1:7" x14ac:dyDescent="0.2">
      <c r="A12" s="12" t="s">
        <v>37</v>
      </c>
      <c r="B12" s="101">
        <v>84000</v>
      </c>
      <c r="C12" s="101">
        <f t="shared" ref="C12:C14" si="5">ROUND(115%*B12,0)</f>
        <v>96600</v>
      </c>
      <c r="D12" s="101">
        <v>120750</v>
      </c>
      <c r="E12" s="101">
        <f>ROUND(D12*118%,0)</f>
        <v>142485</v>
      </c>
      <c r="F12" s="101">
        <f t="shared" ref="F12:F14" si="6">ROUND(E12*130%,0)</f>
        <v>185231</v>
      </c>
      <c r="G12" s="100"/>
    </row>
    <row r="13" spans="1:7" x14ac:dyDescent="0.2">
      <c r="A13" s="12" t="s">
        <v>38</v>
      </c>
      <c r="B13" s="101">
        <v>84000</v>
      </c>
      <c r="C13" s="101">
        <f t="shared" si="5"/>
        <v>96600</v>
      </c>
      <c r="D13" s="101">
        <v>120750</v>
      </c>
      <c r="E13" s="101">
        <f t="shared" si="4"/>
        <v>142485</v>
      </c>
      <c r="F13" s="101">
        <f t="shared" si="6"/>
        <v>185231</v>
      </c>
      <c r="G13" s="100"/>
    </row>
    <row r="14" spans="1:7" x14ac:dyDescent="0.2">
      <c r="A14" s="12" t="s">
        <v>39</v>
      </c>
      <c r="B14" s="101">
        <v>84000</v>
      </c>
      <c r="C14" s="101">
        <f t="shared" si="5"/>
        <v>96600</v>
      </c>
      <c r="D14" s="101">
        <v>120750</v>
      </c>
      <c r="E14" s="101">
        <f t="shared" si="4"/>
        <v>142485</v>
      </c>
      <c r="F14" s="101">
        <f t="shared" si="6"/>
        <v>185231</v>
      </c>
      <c r="G14" s="100"/>
    </row>
    <row r="15" spans="1:7" ht="15" x14ac:dyDescent="0.25">
      <c r="A15" s="55" t="s">
        <v>66</v>
      </c>
      <c r="B15" s="103">
        <f>SUM(B11:B14)</f>
        <v>336000</v>
      </c>
      <c r="C15" s="103">
        <f t="shared" ref="C15:F15" si="7">SUM(C11:C14)</f>
        <v>386400</v>
      </c>
      <c r="D15" s="103">
        <f t="shared" si="7"/>
        <v>483000</v>
      </c>
      <c r="E15" s="103">
        <f t="shared" si="7"/>
        <v>569940</v>
      </c>
      <c r="F15" s="103">
        <f t="shared" si="7"/>
        <v>740924</v>
      </c>
      <c r="G15" s="100"/>
    </row>
    <row r="16" spans="1:7" ht="15.75" thickBot="1" x14ac:dyDescent="0.3">
      <c r="A16" s="13" t="s">
        <v>112</v>
      </c>
      <c r="B16" s="105">
        <f>B9+B15</f>
        <v>840000</v>
      </c>
      <c r="C16" s="105">
        <f t="shared" ref="C16:F16" si="8">C9+C15</f>
        <v>966000</v>
      </c>
      <c r="D16" s="105">
        <f t="shared" si="8"/>
        <v>1995000</v>
      </c>
      <c r="E16" s="105">
        <f t="shared" si="8"/>
        <v>2354100</v>
      </c>
      <c r="F16" s="105">
        <f t="shared" si="8"/>
        <v>3060332</v>
      </c>
      <c r="G16" s="100"/>
    </row>
    <row r="17" spans="1:7" ht="15.75" thickTop="1" x14ac:dyDescent="0.25">
      <c r="A17" s="13"/>
      <c r="B17" s="104"/>
      <c r="C17" s="104"/>
      <c r="D17" s="104"/>
      <c r="E17" s="104"/>
      <c r="F17" s="104"/>
      <c r="G17" s="100"/>
    </row>
    <row r="18" spans="1:7" x14ac:dyDescent="0.2">
      <c r="B18" s="100"/>
      <c r="C18" s="100"/>
      <c r="D18" s="100"/>
      <c r="E18" s="100"/>
      <c r="F18" s="100"/>
      <c r="G18" s="100"/>
    </row>
    <row r="19" spans="1:7" ht="15" x14ac:dyDescent="0.25">
      <c r="A19" s="53" t="s">
        <v>118</v>
      </c>
      <c r="B19" s="98" t="s">
        <v>8</v>
      </c>
      <c r="C19" s="98" t="s">
        <v>9</v>
      </c>
      <c r="D19" s="98" t="s">
        <v>10</v>
      </c>
      <c r="E19" s="99" t="s">
        <v>11</v>
      </c>
      <c r="F19" s="99" t="s">
        <v>12</v>
      </c>
      <c r="G19" s="100"/>
    </row>
    <row r="20" spans="1:7" ht="15" x14ac:dyDescent="0.25">
      <c r="A20" s="53" t="s">
        <v>67</v>
      </c>
      <c r="B20" s="98"/>
      <c r="C20" s="98"/>
      <c r="D20" s="98"/>
      <c r="E20" s="99"/>
      <c r="F20" s="99"/>
      <c r="G20" s="100"/>
    </row>
    <row r="21" spans="1:7" x14ac:dyDescent="0.2">
      <c r="A21" s="10" t="s">
        <v>36</v>
      </c>
      <c r="B21" s="102">
        <v>270000</v>
      </c>
      <c r="C21" s="102">
        <f>394680</f>
        <v>394680</v>
      </c>
      <c r="D21" s="101">
        <v>540000</v>
      </c>
      <c r="E21" s="101">
        <f t="shared" ref="E21:E24" si="9">ROUND(D21*118%,0)</f>
        <v>637200</v>
      </c>
      <c r="F21" s="101">
        <f>ROUND(E21*130%,0)</f>
        <v>828360</v>
      </c>
      <c r="G21" s="100"/>
    </row>
    <row r="22" spans="1:7" x14ac:dyDescent="0.2">
      <c r="A22" s="10" t="s">
        <v>37</v>
      </c>
      <c r="B22" s="102">
        <v>270000</v>
      </c>
      <c r="C22" s="102">
        <f>ROUND(115%*B22,0)</f>
        <v>310500</v>
      </c>
      <c r="D22" s="101">
        <v>540000</v>
      </c>
      <c r="E22" s="101">
        <f t="shared" si="9"/>
        <v>637200</v>
      </c>
      <c r="F22" s="101">
        <f t="shared" ref="F22:F24" si="10">ROUND(E22*130%,0)</f>
        <v>828360</v>
      </c>
      <c r="G22" s="100"/>
    </row>
    <row r="23" spans="1:7" x14ac:dyDescent="0.2">
      <c r="A23" s="10" t="s">
        <v>38</v>
      </c>
      <c r="B23" s="102">
        <v>270000</v>
      </c>
      <c r="C23" s="102">
        <f t="shared" ref="C23:C24" si="11">ROUND(115%*B23,0)</f>
        <v>310500</v>
      </c>
      <c r="D23" s="101">
        <v>540000</v>
      </c>
      <c r="E23" s="101">
        <f t="shared" si="9"/>
        <v>637200</v>
      </c>
      <c r="F23" s="101">
        <f t="shared" si="10"/>
        <v>828360</v>
      </c>
      <c r="G23" s="100"/>
    </row>
    <row r="24" spans="1:7" x14ac:dyDescent="0.2">
      <c r="A24" s="10" t="s">
        <v>39</v>
      </c>
      <c r="B24" s="102">
        <v>270000</v>
      </c>
      <c r="C24" s="102">
        <f t="shared" si="11"/>
        <v>310500</v>
      </c>
      <c r="D24" s="101">
        <v>540000</v>
      </c>
      <c r="E24" s="101">
        <f t="shared" si="9"/>
        <v>637200</v>
      </c>
      <c r="F24" s="101">
        <f t="shared" si="10"/>
        <v>828360</v>
      </c>
      <c r="G24" s="100"/>
    </row>
    <row r="25" spans="1:7" ht="15" x14ac:dyDescent="0.25">
      <c r="A25" s="53" t="s">
        <v>66</v>
      </c>
      <c r="B25" s="103">
        <f>SUM(B21:B24)</f>
        <v>1080000</v>
      </c>
      <c r="C25" s="106">
        <f>SUM(C21:C24)</f>
        <v>1326180</v>
      </c>
      <c r="D25" s="106">
        <f t="shared" ref="D25:F25" si="12">SUM(D21:D24)</f>
        <v>2160000</v>
      </c>
      <c r="E25" s="106">
        <f t="shared" si="12"/>
        <v>2548800</v>
      </c>
      <c r="F25" s="106">
        <f t="shared" si="12"/>
        <v>3313440</v>
      </c>
      <c r="G25" s="100"/>
    </row>
    <row r="26" spans="1:7" ht="15" x14ac:dyDescent="0.25">
      <c r="A26" s="53" t="s">
        <v>68</v>
      </c>
      <c r="B26" s="104"/>
      <c r="C26" s="104"/>
      <c r="D26" s="104"/>
      <c r="E26" s="104"/>
      <c r="F26" s="104"/>
      <c r="G26" s="100"/>
    </row>
    <row r="27" spans="1:7" x14ac:dyDescent="0.2">
      <c r="A27" s="12" t="s">
        <v>36</v>
      </c>
      <c r="B27" s="101">
        <v>180000</v>
      </c>
      <c r="C27" s="101">
        <f>ROUND(115%*B27,0)</f>
        <v>207000</v>
      </c>
      <c r="D27" s="101">
        <v>360000</v>
      </c>
      <c r="E27" s="101">
        <f t="shared" ref="E27:E30" si="13">ROUND(D27*118%,0)</f>
        <v>424800</v>
      </c>
      <c r="F27" s="101">
        <f>ROUND(E27*130%,0)</f>
        <v>552240</v>
      </c>
      <c r="G27" s="100"/>
    </row>
    <row r="28" spans="1:7" x14ac:dyDescent="0.2">
      <c r="A28" s="12" t="s">
        <v>37</v>
      </c>
      <c r="B28" s="101">
        <v>180000</v>
      </c>
      <c r="C28" s="101">
        <f>ROUND(115%*B28,0)</f>
        <v>207000</v>
      </c>
      <c r="D28" s="101">
        <v>360000</v>
      </c>
      <c r="E28" s="101">
        <f t="shared" si="13"/>
        <v>424800</v>
      </c>
      <c r="F28" s="101">
        <f t="shared" ref="F28:F30" si="14">ROUND(E28*130%,0)</f>
        <v>552240</v>
      </c>
      <c r="G28" s="100"/>
    </row>
    <row r="29" spans="1:7" x14ac:dyDescent="0.2">
      <c r="A29" s="12" t="s">
        <v>38</v>
      </c>
      <c r="B29" s="101">
        <v>180000</v>
      </c>
      <c r="C29" s="101">
        <f t="shared" ref="C29:C30" si="15">ROUND(115%*B29,0)</f>
        <v>207000</v>
      </c>
      <c r="D29" s="101">
        <v>360000</v>
      </c>
      <c r="E29" s="101">
        <f t="shared" si="13"/>
        <v>424800</v>
      </c>
      <c r="F29" s="101">
        <f>ROUND(E29*130%,0)</f>
        <v>552240</v>
      </c>
      <c r="G29" s="100"/>
    </row>
    <row r="30" spans="1:7" x14ac:dyDescent="0.2">
      <c r="A30" s="12" t="s">
        <v>39</v>
      </c>
      <c r="B30" s="101">
        <v>180000</v>
      </c>
      <c r="C30" s="101">
        <f t="shared" si="15"/>
        <v>207000</v>
      </c>
      <c r="D30" s="101">
        <v>360000</v>
      </c>
      <c r="E30" s="101">
        <f t="shared" si="13"/>
        <v>424800</v>
      </c>
      <c r="F30" s="101">
        <f t="shared" si="14"/>
        <v>552240</v>
      </c>
      <c r="G30" s="100"/>
    </row>
    <row r="31" spans="1:7" ht="15" x14ac:dyDescent="0.25">
      <c r="A31" s="55" t="s">
        <v>66</v>
      </c>
      <c r="B31" s="103">
        <f>SUM(B27:B30)</f>
        <v>720000</v>
      </c>
      <c r="C31" s="103">
        <f>SUM(C27:C30)</f>
        <v>828000</v>
      </c>
      <c r="D31" s="103">
        <f t="shared" ref="D31:F31" si="16">SUM(D27:D30)</f>
        <v>1440000</v>
      </c>
      <c r="E31" s="103">
        <f t="shared" si="16"/>
        <v>1699200</v>
      </c>
      <c r="F31" s="103">
        <f t="shared" si="16"/>
        <v>2208960</v>
      </c>
      <c r="G31" s="100"/>
    </row>
    <row r="32" spans="1:7" ht="15.75" thickBot="1" x14ac:dyDescent="0.3">
      <c r="A32" s="13" t="s">
        <v>112</v>
      </c>
      <c r="B32" s="105">
        <f>B25+B31</f>
        <v>1800000</v>
      </c>
      <c r="C32" s="105">
        <f>C25+C31</f>
        <v>2154180</v>
      </c>
      <c r="D32" s="105">
        <v>3600000</v>
      </c>
      <c r="E32" s="105">
        <f t="shared" ref="E32:F32" si="17">E25+E31</f>
        <v>4248000</v>
      </c>
      <c r="F32" s="105">
        <f t="shared" si="17"/>
        <v>5522400</v>
      </c>
      <c r="G32" s="100"/>
    </row>
    <row r="33" spans="1:7" ht="15" thickTop="1" x14ac:dyDescent="0.2">
      <c r="B33" s="100"/>
      <c r="C33" s="100"/>
      <c r="D33" s="100"/>
      <c r="E33" s="100"/>
      <c r="F33" s="100"/>
      <c r="G33" s="100"/>
    </row>
    <row r="34" spans="1:7" x14ac:dyDescent="0.2">
      <c r="B34" s="100"/>
      <c r="C34" s="100"/>
      <c r="D34" s="100"/>
      <c r="E34" s="100"/>
      <c r="F34" s="100"/>
      <c r="G34" s="100"/>
    </row>
    <row r="35" spans="1:7" ht="15" x14ac:dyDescent="0.25">
      <c r="A35" s="53" t="s">
        <v>119</v>
      </c>
      <c r="B35" s="98" t="s">
        <v>8</v>
      </c>
      <c r="C35" s="98" t="s">
        <v>9</v>
      </c>
      <c r="D35" s="98" t="s">
        <v>10</v>
      </c>
      <c r="E35" s="99" t="s">
        <v>11</v>
      </c>
      <c r="F35" s="99" t="s">
        <v>12</v>
      </c>
      <c r="G35" s="100"/>
    </row>
    <row r="36" spans="1:7" ht="15" x14ac:dyDescent="0.25">
      <c r="A36" s="53" t="s">
        <v>67</v>
      </c>
      <c r="B36" s="98"/>
      <c r="C36" s="98"/>
      <c r="D36" s="98"/>
      <c r="E36" s="99"/>
      <c r="F36" s="99"/>
      <c r="G36" s="100"/>
    </row>
    <row r="37" spans="1:7" x14ac:dyDescent="0.2">
      <c r="A37" s="10" t="s">
        <v>36</v>
      </c>
      <c r="B37" s="102">
        <v>172800</v>
      </c>
      <c r="C37" s="102">
        <f>ROUND(115%*B37,0)</f>
        <v>198720</v>
      </c>
      <c r="D37" s="101">
        <v>403200</v>
      </c>
      <c r="E37" s="101">
        <f t="shared" ref="E37:E40" si="18">ROUND(D37*118%,0)</f>
        <v>475776</v>
      </c>
      <c r="F37" s="101">
        <f>ROUND(E37*130%,0)</f>
        <v>618509</v>
      </c>
      <c r="G37" s="100"/>
    </row>
    <row r="38" spans="1:7" x14ac:dyDescent="0.2">
      <c r="A38" s="10" t="s">
        <v>37</v>
      </c>
      <c r="B38" s="102">
        <v>172800</v>
      </c>
      <c r="C38" s="102">
        <f>ROUND(115%*B38,0)</f>
        <v>198720</v>
      </c>
      <c r="D38" s="101">
        <v>403200</v>
      </c>
      <c r="E38" s="101">
        <f t="shared" si="18"/>
        <v>475776</v>
      </c>
      <c r="F38" s="101">
        <f>ROUND(E38*130%,0)</f>
        <v>618509</v>
      </c>
      <c r="G38" s="100"/>
    </row>
    <row r="39" spans="1:7" x14ac:dyDescent="0.2">
      <c r="A39" s="10" t="s">
        <v>38</v>
      </c>
      <c r="B39" s="102">
        <v>172800</v>
      </c>
      <c r="C39" s="102">
        <f t="shared" ref="C39" si="19">ROUND(115%*B39,0)</f>
        <v>198720</v>
      </c>
      <c r="D39" s="101">
        <v>403200</v>
      </c>
      <c r="E39" s="101">
        <f t="shared" si="18"/>
        <v>475776</v>
      </c>
      <c r="F39" s="101">
        <f t="shared" ref="F39:F40" si="20">ROUND(E39*130%,0)</f>
        <v>618509</v>
      </c>
      <c r="G39" s="100"/>
    </row>
    <row r="40" spans="1:7" x14ac:dyDescent="0.2">
      <c r="A40" s="10" t="s">
        <v>39</v>
      </c>
      <c r="B40" s="102">
        <v>172800</v>
      </c>
      <c r="C40" s="102">
        <f>ROUND(115%*B40,0)</f>
        <v>198720</v>
      </c>
      <c r="D40" s="101">
        <v>403200</v>
      </c>
      <c r="E40" s="101">
        <f t="shared" si="18"/>
        <v>475776</v>
      </c>
      <c r="F40" s="101">
        <f t="shared" si="20"/>
        <v>618509</v>
      </c>
      <c r="G40" s="100"/>
    </row>
    <row r="41" spans="1:7" ht="15" x14ac:dyDescent="0.25">
      <c r="A41" s="53" t="s">
        <v>66</v>
      </c>
      <c r="B41" s="106">
        <f>SUM(B37:B40)</f>
        <v>691200</v>
      </c>
      <c r="C41" s="106">
        <f t="shared" ref="C41:F41" si="21">SUM(C37:C40)</f>
        <v>794880</v>
      </c>
      <c r="D41" s="106">
        <f t="shared" si="21"/>
        <v>1612800</v>
      </c>
      <c r="E41" s="106">
        <f t="shared" si="21"/>
        <v>1903104</v>
      </c>
      <c r="F41" s="106">
        <f t="shared" si="21"/>
        <v>2474036</v>
      </c>
      <c r="G41" s="100"/>
    </row>
    <row r="42" spans="1:7" ht="15" x14ac:dyDescent="0.25">
      <c r="A42" s="53" t="s">
        <v>68</v>
      </c>
      <c r="B42" s="104"/>
      <c r="C42" s="104"/>
      <c r="D42" s="104"/>
      <c r="E42" s="104"/>
      <c r="F42" s="104"/>
      <c r="G42" s="100"/>
    </row>
    <row r="43" spans="1:7" x14ac:dyDescent="0.2">
      <c r="A43" s="12" t="s">
        <v>36</v>
      </c>
      <c r="B43" s="101">
        <v>115200</v>
      </c>
      <c r="C43" s="101">
        <f>ROUND(115%*B43,0)</f>
        <v>132480</v>
      </c>
      <c r="D43" s="101">
        <v>268800</v>
      </c>
      <c r="E43" s="101">
        <f>ROUND(D43*118%,0)</f>
        <v>317184</v>
      </c>
      <c r="F43" s="101">
        <f t="shared" ref="F43:F46" si="22">ROUND(E43*130%,0)</f>
        <v>412339</v>
      </c>
      <c r="G43" s="100"/>
    </row>
    <row r="44" spans="1:7" x14ac:dyDescent="0.2">
      <c r="A44" s="12" t="s">
        <v>37</v>
      </c>
      <c r="B44" s="101">
        <v>115200</v>
      </c>
      <c r="C44" s="101">
        <f>ROUND(115%*B44,0)</f>
        <v>132480</v>
      </c>
      <c r="D44" s="101">
        <v>268800</v>
      </c>
      <c r="E44" s="101">
        <f t="shared" ref="E44:E46" si="23">ROUND(D44*118%,0)</f>
        <v>317184</v>
      </c>
      <c r="F44" s="101">
        <f t="shared" si="22"/>
        <v>412339</v>
      </c>
      <c r="G44" s="100"/>
    </row>
    <row r="45" spans="1:7" x14ac:dyDescent="0.2">
      <c r="A45" s="12" t="s">
        <v>38</v>
      </c>
      <c r="B45" s="101">
        <v>115200</v>
      </c>
      <c r="C45" s="101">
        <f>ROUND(115%*B45,0)</f>
        <v>132480</v>
      </c>
      <c r="D45" s="101">
        <v>268800</v>
      </c>
      <c r="E45" s="101">
        <f t="shared" si="23"/>
        <v>317184</v>
      </c>
      <c r="F45" s="101">
        <f t="shared" si="22"/>
        <v>412339</v>
      </c>
      <c r="G45" s="100"/>
    </row>
    <row r="46" spans="1:7" x14ac:dyDescent="0.2">
      <c r="A46" s="12" t="s">
        <v>39</v>
      </c>
      <c r="B46" s="101">
        <v>115200</v>
      </c>
      <c r="C46" s="101">
        <f t="shared" ref="C46" si="24">ROUND(115%*B46,0)</f>
        <v>132480</v>
      </c>
      <c r="D46" s="101">
        <v>268800</v>
      </c>
      <c r="E46" s="101">
        <f t="shared" si="23"/>
        <v>317184</v>
      </c>
      <c r="F46" s="101">
        <f t="shared" si="22"/>
        <v>412339</v>
      </c>
      <c r="G46" s="100"/>
    </row>
    <row r="47" spans="1:7" ht="15" x14ac:dyDescent="0.25">
      <c r="A47" s="55" t="s">
        <v>66</v>
      </c>
      <c r="B47" s="103">
        <f>SUM(B43:B46)</f>
        <v>460800</v>
      </c>
      <c r="C47" s="103">
        <f t="shared" ref="C47:F47" si="25">SUM(C43:C46)</f>
        <v>529920</v>
      </c>
      <c r="D47" s="103">
        <f t="shared" si="25"/>
        <v>1075200</v>
      </c>
      <c r="E47" s="103">
        <f t="shared" si="25"/>
        <v>1268736</v>
      </c>
      <c r="F47" s="103">
        <f t="shared" si="25"/>
        <v>1649356</v>
      </c>
      <c r="G47" s="100"/>
    </row>
    <row r="48" spans="1:7" ht="15.75" thickBot="1" x14ac:dyDescent="0.3">
      <c r="A48" s="13" t="s">
        <v>112</v>
      </c>
      <c r="B48" s="105">
        <f>B41+B47</f>
        <v>1152000</v>
      </c>
      <c r="C48" s="105">
        <f t="shared" ref="C48:F48" si="26">C41+C47</f>
        <v>1324800</v>
      </c>
      <c r="D48" s="105">
        <f t="shared" si="26"/>
        <v>2688000</v>
      </c>
      <c r="E48" s="105">
        <f t="shared" si="26"/>
        <v>3171840</v>
      </c>
      <c r="F48" s="105">
        <f t="shared" si="26"/>
        <v>4123392</v>
      </c>
      <c r="G48" s="100"/>
    </row>
    <row r="49" spans="1:7" ht="15" thickTop="1" x14ac:dyDescent="0.2">
      <c r="B49" s="100"/>
      <c r="C49" s="100"/>
      <c r="D49" s="100"/>
      <c r="E49" s="100"/>
      <c r="F49" s="100"/>
      <c r="G49" s="100"/>
    </row>
    <row r="51" spans="1:7" ht="15" x14ac:dyDescent="0.25">
      <c r="A51" s="53" t="s">
        <v>120</v>
      </c>
      <c r="B51" s="98" t="s">
        <v>8</v>
      </c>
      <c r="C51" s="98" t="s">
        <v>9</v>
      </c>
      <c r="D51" s="98" t="s">
        <v>10</v>
      </c>
      <c r="E51" s="99" t="s">
        <v>11</v>
      </c>
      <c r="F51" s="99" t="s">
        <v>12</v>
      </c>
    </row>
    <row r="52" spans="1:7" ht="15" x14ac:dyDescent="0.25">
      <c r="A52" s="53" t="s">
        <v>67</v>
      </c>
      <c r="B52" s="98"/>
      <c r="C52" s="98"/>
      <c r="D52" s="98"/>
      <c r="E52" s="99"/>
      <c r="F52" s="99"/>
    </row>
    <row r="53" spans="1:7" x14ac:dyDescent="0.2">
      <c r="A53" s="10" t="s">
        <v>36</v>
      </c>
      <c r="B53" s="102">
        <v>82800</v>
      </c>
      <c r="C53" s="102">
        <v>95220</v>
      </c>
      <c r="D53" s="101">
        <f>ROUND(C53*125%,0)</f>
        <v>119025</v>
      </c>
      <c r="E53" s="101">
        <f>ROUND(D53*118%,0)</f>
        <v>140450</v>
      </c>
      <c r="F53" s="101">
        <f>ROUND(E53*130%,0)</f>
        <v>182585</v>
      </c>
    </row>
    <row r="54" spans="1:7" x14ac:dyDescent="0.2">
      <c r="A54" s="10" t="s">
        <v>37</v>
      </c>
      <c r="B54" s="102">
        <v>82800</v>
      </c>
      <c r="C54" s="102">
        <f t="shared" ref="C54:C56" si="27">ROUND(115%*B54,0)</f>
        <v>95220</v>
      </c>
      <c r="D54" s="102">
        <v>119025</v>
      </c>
      <c r="E54" s="102">
        <v>140450</v>
      </c>
      <c r="F54" s="102">
        <v>182585</v>
      </c>
    </row>
    <row r="55" spans="1:7" x14ac:dyDescent="0.2">
      <c r="A55" s="10" t="s">
        <v>38</v>
      </c>
      <c r="B55" s="102">
        <v>82800</v>
      </c>
      <c r="C55" s="102">
        <f t="shared" si="27"/>
        <v>95220</v>
      </c>
      <c r="D55" s="102">
        <v>119025</v>
      </c>
      <c r="E55" s="102">
        <v>140450</v>
      </c>
      <c r="F55" s="102">
        <v>182585</v>
      </c>
    </row>
    <row r="56" spans="1:7" x14ac:dyDescent="0.2">
      <c r="A56" s="10" t="s">
        <v>39</v>
      </c>
      <c r="B56" s="102">
        <v>82800</v>
      </c>
      <c r="C56" s="102">
        <f t="shared" si="27"/>
        <v>95220</v>
      </c>
      <c r="D56" s="102">
        <v>119025</v>
      </c>
      <c r="E56" s="102">
        <v>140450</v>
      </c>
      <c r="F56" s="102">
        <v>182585</v>
      </c>
    </row>
    <row r="57" spans="1:7" ht="15" x14ac:dyDescent="0.25">
      <c r="A57" s="53" t="s">
        <v>66</v>
      </c>
      <c r="B57" s="106">
        <f>SUM(B53:B56)</f>
        <v>331200</v>
      </c>
      <c r="C57" s="106">
        <f t="shared" ref="C57:F57" si="28">SUM(C53:C56)</f>
        <v>380880</v>
      </c>
      <c r="D57" s="106">
        <f t="shared" si="28"/>
        <v>476100</v>
      </c>
      <c r="E57" s="106">
        <f t="shared" si="28"/>
        <v>561800</v>
      </c>
      <c r="F57" s="106">
        <f t="shared" si="28"/>
        <v>730340</v>
      </c>
    </row>
    <row r="58" spans="1:7" ht="15" x14ac:dyDescent="0.25">
      <c r="A58" s="53" t="s">
        <v>68</v>
      </c>
      <c r="B58" s="104"/>
      <c r="C58" s="104"/>
      <c r="D58" s="104"/>
      <c r="E58" s="104"/>
      <c r="F58" s="104"/>
    </row>
    <row r="59" spans="1:7" x14ac:dyDescent="0.2">
      <c r="A59" s="12" t="s">
        <v>36</v>
      </c>
      <c r="B59" s="101">
        <v>55200</v>
      </c>
      <c r="C59" s="101">
        <f>ROUND(115%*B59,0)</f>
        <v>63480</v>
      </c>
      <c r="D59" s="101">
        <f>ROUND(C59*125%,0)</f>
        <v>79350</v>
      </c>
      <c r="E59" s="101">
        <f>ROUND(D59*118%,0)</f>
        <v>93633</v>
      </c>
      <c r="F59" s="101">
        <f>ROUND(E59*130%,0)</f>
        <v>121723</v>
      </c>
    </row>
    <row r="60" spans="1:7" x14ac:dyDescent="0.2">
      <c r="A60" s="12" t="s">
        <v>37</v>
      </c>
      <c r="B60" s="101">
        <v>55200</v>
      </c>
      <c r="C60" s="101">
        <f>ROUND(115%*B60,0)</f>
        <v>63480</v>
      </c>
      <c r="D60" s="101">
        <v>79350</v>
      </c>
      <c r="E60" s="101">
        <v>93633</v>
      </c>
      <c r="F60" s="101">
        <v>121723</v>
      </c>
    </row>
    <row r="61" spans="1:7" x14ac:dyDescent="0.2">
      <c r="A61" s="12" t="s">
        <v>38</v>
      </c>
      <c r="B61" s="101">
        <v>55200</v>
      </c>
      <c r="C61" s="101">
        <f>ROUND(115%*B61,0)</f>
        <v>63480</v>
      </c>
      <c r="D61" s="101">
        <v>79350</v>
      </c>
      <c r="E61" s="101">
        <v>93633</v>
      </c>
      <c r="F61" s="101">
        <v>121723</v>
      </c>
    </row>
    <row r="62" spans="1:7" x14ac:dyDescent="0.2">
      <c r="A62" s="12" t="s">
        <v>39</v>
      </c>
      <c r="B62" s="101">
        <v>55200</v>
      </c>
      <c r="C62" s="101">
        <f t="shared" ref="C62" si="29">ROUND(115%*B62,0)</f>
        <v>63480</v>
      </c>
      <c r="D62" s="101">
        <v>79350</v>
      </c>
      <c r="E62" s="101">
        <v>93633</v>
      </c>
      <c r="F62" s="101">
        <v>121723</v>
      </c>
    </row>
    <row r="63" spans="1:7" ht="15" x14ac:dyDescent="0.25">
      <c r="A63" s="55" t="s">
        <v>66</v>
      </c>
      <c r="B63" s="103">
        <f>SUM(B59:B62)</f>
        <v>220800</v>
      </c>
      <c r="C63" s="103">
        <f t="shared" ref="C63:F63" si="30">SUM(C59:C62)</f>
        <v>253920</v>
      </c>
      <c r="D63" s="103">
        <f t="shared" si="30"/>
        <v>317400</v>
      </c>
      <c r="E63" s="103">
        <f t="shared" si="30"/>
        <v>374532</v>
      </c>
      <c r="F63" s="103">
        <f t="shared" si="30"/>
        <v>486892</v>
      </c>
    </row>
    <row r="64" spans="1:7" ht="15.75" thickBot="1" x14ac:dyDescent="0.3">
      <c r="A64" s="13" t="s">
        <v>112</v>
      </c>
      <c r="B64" s="105">
        <f>B57+B63</f>
        <v>552000</v>
      </c>
      <c r="C64" s="105">
        <f t="shared" ref="C64:F64" si="31">C57+C63</f>
        <v>634800</v>
      </c>
      <c r="D64" s="105">
        <f t="shared" si="31"/>
        <v>793500</v>
      </c>
      <c r="E64" s="105">
        <f t="shared" si="31"/>
        <v>936332</v>
      </c>
      <c r="F64" s="105">
        <f t="shared" si="31"/>
        <v>1217232</v>
      </c>
    </row>
    <row r="65" spans="1:6" ht="15" thickTop="1" x14ac:dyDescent="0.2">
      <c r="B65" s="100"/>
      <c r="C65" s="100"/>
      <c r="D65" s="100"/>
      <c r="E65" s="100"/>
      <c r="F65" s="100"/>
    </row>
    <row r="66" spans="1:6" ht="15.75" thickBot="1" x14ac:dyDescent="0.3">
      <c r="A66" s="18" t="s">
        <v>69</v>
      </c>
      <c r="B66" s="105">
        <f>B16+B32+B48+B64</f>
        <v>4344000</v>
      </c>
      <c r="C66" s="105">
        <f t="shared" ref="C66:F66" si="32">C16+C32+C48+C64</f>
        <v>5079780</v>
      </c>
      <c r="D66" s="105">
        <f t="shared" si="32"/>
        <v>9076500</v>
      </c>
      <c r="E66" s="105">
        <f t="shared" si="32"/>
        <v>10710272</v>
      </c>
      <c r="F66" s="105">
        <f t="shared" si="32"/>
        <v>13923356</v>
      </c>
    </row>
    <row r="67" spans="1:6" ht="15.75" thickTop="1" x14ac:dyDescent="0.25">
      <c r="A67" s="18"/>
      <c r="B67" s="104"/>
      <c r="C67" s="104"/>
      <c r="D67" s="104"/>
      <c r="E67" s="104"/>
      <c r="F67" s="104"/>
    </row>
    <row r="68" spans="1:6" ht="15.75" thickBot="1" x14ac:dyDescent="0.3">
      <c r="A68" s="18" t="s">
        <v>113</v>
      </c>
      <c r="B68" s="105">
        <f>B15+B31+B47+B63</f>
        <v>1737600</v>
      </c>
      <c r="C68" s="105">
        <f t="shared" ref="C68:F68" si="33">C15+C31+C47+C63</f>
        <v>1998240</v>
      </c>
      <c r="D68" s="105">
        <f t="shared" si="33"/>
        <v>3315600</v>
      </c>
      <c r="E68" s="105">
        <f t="shared" si="33"/>
        <v>3912408</v>
      </c>
      <c r="F68" s="105">
        <f t="shared" si="33"/>
        <v>5086132</v>
      </c>
    </row>
    <row r="69" spans="1:6" ht="15.75" thickTop="1" x14ac:dyDescent="0.25">
      <c r="A69" s="18"/>
      <c r="B69" s="104"/>
      <c r="C69" s="104"/>
      <c r="D69" s="104"/>
      <c r="E69" s="104"/>
      <c r="F69" s="104"/>
    </row>
    <row r="71" spans="1:6" ht="15" x14ac:dyDescent="0.25">
      <c r="A71" s="18" t="s">
        <v>57</v>
      </c>
    </row>
    <row r="72" spans="1:6" x14ac:dyDescent="0.2">
      <c r="A72" s="9" t="s">
        <v>106</v>
      </c>
    </row>
    <row r="73" spans="1:6" ht="57" x14ac:dyDescent="0.2">
      <c r="A73" s="56" t="s">
        <v>107</v>
      </c>
    </row>
    <row r="74" spans="1:6" ht="28.5" x14ac:dyDescent="0.2">
      <c r="A74" s="56" t="s">
        <v>111</v>
      </c>
    </row>
    <row r="75" spans="1:6" ht="28.5" x14ac:dyDescent="0.2">
      <c r="A75" s="56" t="s">
        <v>110</v>
      </c>
    </row>
    <row r="76" spans="1:6" x14ac:dyDescent="0.2">
      <c r="A76" s="56"/>
    </row>
    <row r="77" spans="1:6" x14ac:dyDescent="0.2">
      <c r="A77" s="58"/>
    </row>
    <row r="82" spans="1:1" x14ac:dyDescent="0.2">
      <c r="A82" s="56"/>
    </row>
    <row r="83" spans="1:1" x14ac:dyDescent="0.2">
      <c r="A83" s="56"/>
    </row>
    <row r="84" spans="1:1" x14ac:dyDescent="0.2">
      <c r="A84" s="56"/>
    </row>
    <row r="85" spans="1:1" x14ac:dyDescent="0.2">
      <c r="A85" s="5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36"/>
  <sheetViews>
    <sheetView zoomScale="142" workbookViewId="0">
      <selection activeCell="G14" sqref="G14"/>
    </sheetView>
  </sheetViews>
  <sheetFormatPr defaultColWidth="8.85546875" defaultRowHeight="15" x14ac:dyDescent="0.25"/>
  <cols>
    <col min="1" max="1" width="26.42578125" style="3" customWidth="1"/>
    <col min="2" max="2" width="15.85546875" customWidth="1"/>
    <col min="3" max="3" width="15.42578125" customWidth="1"/>
    <col min="4" max="4" width="16.140625" customWidth="1"/>
    <col min="5" max="5" width="17.42578125" customWidth="1"/>
    <col min="6" max="6" width="16.140625" customWidth="1"/>
  </cols>
  <sheetData>
    <row r="1" spans="1:7" s="2" customFormat="1" ht="15.75" x14ac:dyDescent="0.25">
      <c r="A1" s="8" t="s">
        <v>123</v>
      </c>
      <c r="B1" s="9"/>
      <c r="C1" s="9"/>
      <c r="D1" s="9"/>
      <c r="E1" s="9"/>
      <c r="F1" s="9"/>
    </row>
    <row r="2" spans="1:7" s="2" customFormat="1" ht="15.75" x14ac:dyDescent="0.25">
      <c r="A2" s="8"/>
      <c r="B2" s="9"/>
      <c r="C2" s="9"/>
      <c r="D2" s="9"/>
      <c r="E2" s="9"/>
      <c r="F2" s="9"/>
    </row>
    <row r="3" spans="1:7" ht="15.75" x14ac:dyDescent="0.25">
      <c r="A3" s="18" t="s">
        <v>7</v>
      </c>
      <c r="B3" s="19" t="s">
        <v>8</v>
      </c>
      <c r="C3" s="19" t="s">
        <v>9</v>
      </c>
      <c r="D3" s="19" t="s">
        <v>10</v>
      </c>
      <c r="E3" s="19" t="s">
        <v>11</v>
      </c>
      <c r="F3" s="19" t="s">
        <v>12</v>
      </c>
      <c r="G3" s="11"/>
    </row>
    <row r="4" spans="1:7" ht="15.75" x14ac:dyDescent="0.25">
      <c r="A4" s="9" t="s">
        <v>40</v>
      </c>
      <c r="B4" s="102">
        <f>'Revenue Forecast'!B66</f>
        <v>4344000</v>
      </c>
      <c r="C4" s="102">
        <f>'Revenue Forecast'!C66</f>
        <v>5079780</v>
      </c>
      <c r="D4" s="102">
        <f>'Revenue Forecast'!D66</f>
        <v>9076500</v>
      </c>
      <c r="E4" s="102">
        <f>'Revenue Forecast'!E66</f>
        <v>10710272</v>
      </c>
      <c r="F4" s="102">
        <f>'Revenue Forecast'!F66</f>
        <v>13923356</v>
      </c>
      <c r="G4" s="11"/>
    </row>
    <row r="5" spans="1:7" ht="15.75" x14ac:dyDescent="0.25">
      <c r="A5" s="9" t="s">
        <v>17</v>
      </c>
      <c r="B5" s="107">
        <f>ROUND(B4*19%,0)</f>
        <v>825360</v>
      </c>
      <c r="C5" s="107">
        <f>ROUND(C4*19%,0)</f>
        <v>965158</v>
      </c>
      <c r="D5" s="107">
        <f>ROUND(D4*19%,0)</f>
        <v>1724535</v>
      </c>
      <c r="E5" s="107">
        <f>ROUND(E4*19%,0)</f>
        <v>2034952</v>
      </c>
      <c r="F5" s="107">
        <f>ROUND(F4*19%,0)</f>
        <v>2645438</v>
      </c>
      <c r="G5" s="11"/>
    </row>
    <row r="6" spans="1:7" ht="15.75" x14ac:dyDescent="0.25">
      <c r="A6" s="18" t="s">
        <v>18</v>
      </c>
      <c r="B6" s="104">
        <f>B4-B5</f>
        <v>3518640</v>
      </c>
      <c r="C6" s="104">
        <f>C4-C5</f>
        <v>4114622</v>
      </c>
      <c r="D6" s="104">
        <f>D4-D5</f>
        <v>7351965</v>
      </c>
      <c r="E6" s="104">
        <f>E4-E5</f>
        <v>8675320</v>
      </c>
      <c r="F6" s="104">
        <f>F4-F5</f>
        <v>11277918</v>
      </c>
      <c r="G6" s="11"/>
    </row>
    <row r="7" spans="1:7" ht="16.5" thickBot="1" x14ac:dyDescent="0.3">
      <c r="A7" s="18" t="s">
        <v>96</v>
      </c>
      <c r="B7" s="104">
        <f>SUM(B8:B24)</f>
        <v>4073458</v>
      </c>
      <c r="C7" s="104">
        <f>SUM(C8:C24)</f>
        <v>4252550</v>
      </c>
      <c r="D7" s="104">
        <f>SUM(D8:D24)</f>
        <v>4503572</v>
      </c>
      <c r="E7" s="104">
        <f>SUM(E8:E24)</f>
        <v>4843246</v>
      </c>
      <c r="F7" s="104">
        <f>SUM(F8:F24)</f>
        <v>4555469</v>
      </c>
      <c r="G7" s="11"/>
    </row>
    <row r="8" spans="1:7" ht="15.75" x14ac:dyDescent="0.25">
      <c r="A8" s="20" t="s">
        <v>41</v>
      </c>
      <c r="B8" s="108">
        <f>'5 Year cash flow projections'!B15</f>
        <v>14400</v>
      </c>
      <c r="C8" s="109">
        <f>'5 Year cash flow projections'!C15</f>
        <v>14400</v>
      </c>
      <c r="D8" s="109">
        <f>'5 Year cash flow projections'!D15</f>
        <v>14400</v>
      </c>
      <c r="E8" s="109">
        <f>'5 Year cash flow projections'!E15</f>
        <v>14400</v>
      </c>
      <c r="F8" s="110">
        <f>'5 Year cash flow projections'!F15</f>
        <v>14400</v>
      </c>
      <c r="G8" s="11"/>
    </row>
    <row r="9" spans="1:7" ht="15.75" x14ac:dyDescent="0.25">
      <c r="A9" s="20" t="s">
        <v>55</v>
      </c>
      <c r="B9" s="111">
        <f>'5 Year cash flow projections'!B16</f>
        <v>60000</v>
      </c>
      <c r="C9" s="112">
        <f>'5 Year cash flow projections'!C16</f>
        <v>63000</v>
      </c>
      <c r="D9" s="112">
        <f>'5 Year cash flow projections'!D16</f>
        <v>68040</v>
      </c>
      <c r="E9" s="112">
        <f>'5 Year cash flow projections'!E16</f>
        <v>72122</v>
      </c>
      <c r="F9" s="113">
        <f>'5 Year cash flow projections'!F16</f>
        <v>76450</v>
      </c>
      <c r="G9" s="11"/>
    </row>
    <row r="10" spans="1:7" ht="15.75" x14ac:dyDescent="0.25">
      <c r="A10" s="20" t="s">
        <v>54</v>
      </c>
      <c r="B10" s="111">
        <f>'5 Year cash flow projections'!B17</f>
        <v>180500</v>
      </c>
      <c r="C10" s="112">
        <f>'5 Year cash flow projections'!C17</f>
        <v>180500</v>
      </c>
      <c r="D10" s="112">
        <f>'5 Year cash flow projections'!D17</f>
        <v>190000</v>
      </c>
      <c r="E10" s="112">
        <f>'5 Year cash flow projections'!E17</f>
        <v>190000</v>
      </c>
      <c r="F10" s="113">
        <f>'5 Year cash flow projections'!F17</f>
        <v>190000</v>
      </c>
      <c r="G10" s="11"/>
    </row>
    <row r="11" spans="1:7" ht="15.75" x14ac:dyDescent="0.25">
      <c r="A11" s="20" t="s">
        <v>51</v>
      </c>
      <c r="B11" s="111">
        <f>'5 Year cash flow projections'!B18</f>
        <v>2500000</v>
      </c>
      <c r="C11" s="111">
        <f>'5 Year cash flow projections'!C18</f>
        <v>2500000</v>
      </c>
      <c r="D11" s="111">
        <f>'5 Year cash flow projections'!D18</f>
        <v>2500000</v>
      </c>
      <c r="E11" s="111">
        <f>'5 Year cash flow projections'!E18</f>
        <v>2500000</v>
      </c>
      <c r="F11" s="114">
        <f>'5 Year cash flow projections'!F18</f>
        <v>1500000</v>
      </c>
      <c r="G11" s="11"/>
    </row>
    <row r="12" spans="1:7" ht="15.75" x14ac:dyDescent="0.25">
      <c r="A12" s="20" t="s">
        <v>56</v>
      </c>
      <c r="B12" s="111">
        <f>'5 Year cash flow projections'!B20</f>
        <v>211158</v>
      </c>
      <c r="C12" s="111">
        <f>'5 Year cash flow projections'!C20</f>
        <v>114890</v>
      </c>
      <c r="D12" s="111">
        <f>'5 Year cash flow projections'!D20</f>
        <v>106844</v>
      </c>
      <c r="E12" s="111">
        <f>'5 Year cash flow projections'!E20</f>
        <v>97733</v>
      </c>
      <c r="F12" s="114">
        <f>'5 Year cash flow projections'!F20</f>
        <v>87415</v>
      </c>
      <c r="G12" s="11"/>
    </row>
    <row r="13" spans="1:7" ht="15.75" x14ac:dyDescent="0.25">
      <c r="A13" s="20" t="s">
        <v>63</v>
      </c>
      <c r="B13" s="111">
        <f>'5 Year cash flow projections'!B21</f>
        <v>468000</v>
      </c>
      <c r="C13" s="111">
        <f>'5 Year cash flow projections'!C21</f>
        <v>800000</v>
      </c>
      <c r="D13" s="111">
        <f>'5 Year cash flow projections'!D21</f>
        <v>1200000</v>
      </c>
      <c r="E13" s="111">
        <f>'5 Year cash flow projections'!E21</f>
        <v>1500000</v>
      </c>
      <c r="F13" s="114">
        <f>'5 Year cash flow projections'!F21</f>
        <v>2000000</v>
      </c>
      <c r="G13" s="11"/>
    </row>
    <row r="14" spans="1:7" ht="15.75" x14ac:dyDescent="0.25">
      <c r="A14" s="20" t="s">
        <v>104</v>
      </c>
      <c r="B14" s="111">
        <f>'5 Year cash flow projections'!B22</f>
        <v>28000</v>
      </c>
      <c r="C14" s="112">
        <v>60000</v>
      </c>
      <c r="D14" s="112">
        <v>60000</v>
      </c>
      <c r="E14" s="112">
        <v>80000</v>
      </c>
      <c r="F14" s="113">
        <v>121000</v>
      </c>
      <c r="G14" s="11"/>
    </row>
    <row r="15" spans="1:7" ht="15.75" x14ac:dyDescent="0.25">
      <c r="A15" s="20" t="s">
        <v>42</v>
      </c>
      <c r="B15" s="111">
        <f>'5 Year cash flow projections'!B23</f>
        <v>45000</v>
      </c>
      <c r="C15" s="111">
        <f>'5 Year cash flow projections'!C23</f>
        <v>46350</v>
      </c>
      <c r="D15" s="111">
        <f>'5 Year cash flow projections'!D23</f>
        <v>50058</v>
      </c>
      <c r="E15" s="111">
        <f>'5 Year cash flow projections'!E23</f>
        <v>52561</v>
      </c>
      <c r="F15" s="114">
        <f>'5 Year cash flow projections'!F23</f>
        <v>58000</v>
      </c>
      <c r="G15" s="11"/>
    </row>
    <row r="16" spans="1:7" ht="15.75" x14ac:dyDescent="0.25">
      <c r="A16" s="20" t="s">
        <v>43</v>
      </c>
      <c r="B16" s="111">
        <f>'5 Year cash flow projections'!B24</f>
        <v>15000</v>
      </c>
      <c r="C16" s="111">
        <f>'5 Year cash flow projections'!C24</f>
        <v>15000</v>
      </c>
      <c r="D16" s="111">
        <f>'5 Year cash flow projections'!D24</f>
        <v>20000</v>
      </c>
      <c r="E16" s="111">
        <f>'5 Year cash flow projections'!E24</f>
        <v>20400</v>
      </c>
      <c r="F16" s="114">
        <f>'5 Year cash flow projections'!F24</f>
        <v>21216</v>
      </c>
      <c r="G16" s="11"/>
    </row>
    <row r="17" spans="1:7" ht="15.75" x14ac:dyDescent="0.25">
      <c r="A17" s="20" t="s">
        <v>53</v>
      </c>
      <c r="B17" s="111">
        <f>'5 Year cash flow projections'!B25</f>
        <v>180000</v>
      </c>
      <c r="C17" s="111">
        <f>'5 Year cash flow projections'!C25</f>
        <v>198000</v>
      </c>
      <c r="D17" s="111">
        <f>'5 Year cash flow projections'!D25</f>
        <v>217800</v>
      </c>
      <c r="E17" s="111">
        <f>'5 Year cash flow projections'!E25</f>
        <v>239580</v>
      </c>
      <c r="F17" s="114">
        <f>'5 Year cash flow projections'!F25</f>
        <v>263538</v>
      </c>
      <c r="G17" s="11"/>
    </row>
    <row r="18" spans="1:7" ht="15.75" x14ac:dyDescent="0.25">
      <c r="A18" s="20" t="s">
        <v>45</v>
      </c>
      <c r="B18" s="111">
        <f>'5 Year cash flow projections'!B26</f>
        <v>1500</v>
      </c>
      <c r="C18" s="111">
        <f>'5 Year cash flow projections'!C26</f>
        <v>1500</v>
      </c>
      <c r="D18" s="111">
        <f>'5 Year cash flow projections'!D26</f>
        <v>1500</v>
      </c>
      <c r="E18" s="111">
        <f>'5 Year cash flow projections'!E26</f>
        <v>1500</v>
      </c>
      <c r="F18" s="114">
        <f>'5 Year cash flow projections'!F26</f>
        <v>1500</v>
      </c>
      <c r="G18" s="11"/>
    </row>
    <row r="19" spans="1:7" ht="15.75" x14ac:dyDescent="0.25">
      <c r="A19" s="20" t="s">
        <v>46</v>
      </c>
      <c r="B19" s="111">
        <f>'5 Year cash flow projections'!B27</f>
        <v>18000</v>
      </c>
      <c r="C19" s="111">
        <f>'5 Year cash flow projections'!C27</f>
        <v>18000</v>
      </c>
      <c r="D19" s="111">
        <f>'5 Year cash flow projections'!D27</f>
        <v>20000</v>
      </c>
      <c r="E19" s="111">
        <f>'5 Year cash flow projections'!E27</f>
        <v>20000</v>
      </c>
      <c r="F19" s="114">
        <f>'5 Year cash flow projections'!F27</f>
        <v>22000</v>
      </c>
      <c r="G19" s="11"/>
    </row>
    <row r="20" spans="1:7" ht="15.75" x14ac:dyDescent="0.25">
      <c r="A20" s="20" t="s">
        <v>44</v>
      </c>
      <c r="B20" s="111">
        <f>'5 Year cash flow projections'!B28</f>
        <v>300</v>
      </c>
      <c r="C20" s="111">
        <f>'5 Year cash flow projections'!C28</f>
        <v>310</v>
      </c>
      <c r="D20" s="111">
        <f>'5 Year cash flow projections'!D28</f>
        <v>330</v>
      </c>
      <c r="E20" s="111">
        <f>'5 Year cash flow projections'!E28</f>
        <v>350</v>
      </c>
      <c r="F20" s="114">
        <f>'5 Year cash flow projections'!F28</f>
        <v>350</v>
      </c>
      <c r="G20" s="11"/>
    </row>
    <row r="21" spans="1:7" ht="15.75" x14ac:dyDescent="0.25">
      <c r="A21" s="20" t="s">
        <v>50</v>
      </c>
      <c r="B21" s="111">
        <f>'5 Year cash flow projections'!B29</f>
        <v>12000</v>
      </c>
      <c r="C21" s="111">
        <f>'5 Year cash flow projections'!C29</f>
        <v>12000</v>
      </c>
      <c r="D21" s="111">
        <f>'5 Year cash flow projections'!D29</f>
        <v>15000</v>
      </c>
      <c r="E21" s="111">
        <f>'5 Year cash flow projections'!E29</f>
        <v>15000</v>
      </c>
      <c r="F21" s="114">
        <f>'5 Year cash flow projections'!F29</f>
        <v>18000</v>
      </c>
      <c r="G21" s="11"/>
    </row>
    <row r="22" spans="1:7" ht="15.75" x14ac:dyDescent="0.25">
      <c r="A22" s="20" t="s">
        <v>99</v>
      </c>
      <c r="B22" s="111">
        <f>'5 Year cash flow projections'!B30</f>
        <v>120000</v>
      </c>
      <c r="C22" s="111">
        <f>'5 Year cash flow projections'!C30</f>
        <v>0</v>
      </c>
      <c r="D22" s="111">
        <f>'5 Year cash flow projections'!D30</f>
        <v>0</v>
      </c>
      <c r="E22" s="111">
        <f>'5 Year cash flow projections'!E30</f>
        <v>0</v>
      </c>
      <c r="F22" s="114">
        <f>'5 Year cash flow projections'!F30</f>
        <v>132000</v>
      </c>
      <c r="G22" s="11"/>
    </row>
    <row r="23" spans="1:7" ht="15.75" x14ac:dyDescent="0.25">
      <c r="A23" s="20" t="s">
        <v>100</v>
      </c>
      <c r="B23" s="111">
        <f>'5 Year cash flow projections'!B31</f>
        <v>180000</v>
      </c>
      <c r="C23" s="111">
        <f>'5 Year cash flow projections'!C31</f>
        <v>189000</v>
      </c>
      <c r="D23" s="111">
        <f>'5 Year cash flow projections'!D31</f>
        <v>0</v>
      </c>
      <c r="E23" s="111">
        <f>'5 Year cash flow projections'!E31</f>
        <v>0</v>
      </c>
      <c r="F23" s="114">
        <f>'5 Year cash flow projections'!F31</f>
        <v>0</v>
      </c>
      <c r="G23" s="11"/>
    </row>
    <row r="24" spans="1:7" ht="16.5" thickBot="1" x14ac:dyDescent="0.3">
      <c r="A24" s="20" t="s">
        <v>52</v>
      </c>
      <c r="B24" s="111">
        <v>39600</v>
      </c>
      <c r="C24" s="115">
        <v>39600</v>
      </c>
      <c r="D24" s="115">
        <v>39600</v>
      </c>
      <c r="E24" s="115">
        <v>39600</v>
      </c>
      <c r="F24" s="116">
        <v>49600</v>
      </c>
      <c r="G24" s="11"/>
    </row>
    <row r="25" spans="1:7" ht="15.75" x14ac:dyDescent="0.25">
      <c r="A25" s="21" t="s">
        <v>27</v>
      </c>
      <c r="B25" s="104">
        <f>B6-B7</f>
        <v>-554818</v>
      </c>
      <c r="C25" s="104">
        <f>C6-C7</f>
        <v>-137928</v>
      </c>
      <c r="D25" s="104">
        <f>D6-D7</f>
        <v>2848393</v>
      </c>
      <c r="E25" s="104">
        <f>E6-E7</f>
        <v>3832074</v>
      </c>
      <c r="F25" s="104">
        <f>F6-F7</f>
        <v>6722449</v>
      </c>
      <c r="G25" s="11"/>
    </row>
    <row r="26" spans="1:7" ht="15.75" x14ac:dyDescent="0.25">
      <c r="A26" s="20" t="s">
        <v>48</v>
      </c>
      <c r="B26" s="107">
        <f>ROUND((B25+B24)*28%,0)</f>
        <v>-144261</v>
      </c>
      <c r="C26" s="107">
        <f>ROUND((C25+C24)*28%,0)</f>
        <v>-27532</v>
      </c>
      <c r="D26" s="107">
        <f>ROUND((D25+D24)*28%,0)</f>
        <v>808638</v>
      </c>
      <c r="E26" s="107">
        <f>ROUND((E25+E24)*28%,0)</f>
        <v>1084069</v>
      </c>
      <c r="F26" s="107">
        <f>ROUND((F25+F24)*28%,0)</f>
        <v>1896174</v>
      </c>
      <c r="G26" s="11"/>
    </row>
    <row r="27" spans="1:7" ht="15.75" x14ac:dyDescent="0.25">
      <c r="A27" s="21" t="s">
        <v>47</v>
      </c>
      <c r="B27" s="104">
        <f>B25-B26</f>
        <v>-410557</v>
      </c>
      <c r="C27" s="104">
        <f t="shared" ref="C27:E27" si="0">C25-C26</f>
        <v>-110396</v>
      </c>
      <c r="D27" s="104">
        <f t="shared" si="0"/>
        <v>2039755</v>
      </c>
      <c r="E27" s="104">
        <f t="shared" si="0"/>
        <v>2748005</v>
      </c>
      <c r="F27" s="104">
        <f>F25-F26</f>
        <v>4826275</v>
      </c>
      <c r="G27" s="11"/>
    </row>
    <row r="28" spans="1:7" x14ac:dyDescent="0.25">
      <c r="A28" s="22" t="s">
        <v>94</v>
      </c>
      <c r="B28" s="100">
        <v>0</v>
      </c>
      <c r="C28" s="100">
        <v>0</v>
      </c>
      <c r="D28" s="100">
        <v>0</v>
      </c>
      <c r="E28" s="100">
        <v>0</v>
      </c>
      <c r="F28" s="100">
        <v>0</v>
      </c>
    </row>
    <row r="29" spans="1:7" ht="15.75" thickBot="1" x14ac:dyDescent="0.3">
      <c r="A29" s="23" t="s">
        <v>93</v>
      </c>
      <c r="B29" s="105">
        <f>B27-B28</f>
        <v>-410557</v>
      </c>
      <c r="C29" s="105">
        <f>C27-C28</f>
        <v>-110396</v>
      </c>
      <c r="D29" s="105">
        <f>D27-D28</f>
        <v>2039755</v>
      </c>
      <c r="E29" s="105">
        <f>E27-E28</f>
        <v>2748005</v>
      </c>
      <c r="F29" s="105">
        <f>F27-F28</f>
        <v>4826275</v>
      </c>
    </row>
    <row r="30" spans="1:7" ht="15.75" thickTop="1" x14ac:dyDescent="0.25">
      <c r="A30" s="24"/>
      <c r="B30" s="100"/>
      <c r="C30" s="100"/>
      <c r="D30" s="100"/>
      <c r="E30" s="100"/>
      <c r="F30" s="100"/>
    </row>
    <row r="31" spans="1:7" x14ac:dyDescent="0.25">
      <c r="B31" s="117"/>
      <c r="C31" s="117"/>
      <c r="D31" s="117"/>
      <c r="E31" s="117"/>
      <c r="F31" s="117"/>
    </row>
    <row r="32" spans="1:7" x14ac:dyDescent="0.25">
      <c r="A32" s="2" t="s">
        <v>57</v>
      </c>
    </row>
    <row r="33" spans="1:1" x14ac:dyDescent="0.25">
      <c r="A33" s="3" t="s">
        <v>105</v>
      </c>
    </row>
    <row r="34" spans="1:1" x14ac:dyDescent="0.25">
      <c r="A34" s="3" t="s">
        <v>49</v>
      </c>
    </row>
    <row r="35" spans="1:1" x14ac:dyDescent="0.25">
      <c r="A35" s="3" t="s">
        <v>115</v>
      </c>
    </row>
    <row r="36" spans="1:1" x14ac:dyDescent="0.25">
      <c r="A36" s="3" t="s">
        <v>97</v>
      </c>
    </row>
  </sheetData>
  <pageMargins left="0.7" right="0.7" top="0.75" bottom="0.75" header="0.3" footer="0.3"/>
  <pageSetup orientation="landscape" horizont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33"/>
  <sheetViews>
    <sheetView tabSelected="1" topLeftCell="A21" zoomScale="164" workbookViewId="0">
      <selection activeCell="A33" sqref="A33"/>
    </sheetView>
  </sheetViews>
  <sheetFormatPr defaultColWidth="8.85546875" defaultRowHeight="15" x14ac:dyDescent="0.2"/>
  <cols>
    <col min="1" max="1" width="27" style="7" customWidth="1"/>
    <col min="2" max="2" width="15" style="7" customWidth="1"/>
    <col min="3" max="3" width="15.42578125" style="7" customWidth="1"/>
    <col min="4" max="4" width="17" style="7" customWidth="1"/>
    <col min="5" max="5" width="15.28515625" style="7" customWidth="1"/>
    <col min="6" max="6" width="15.7109375" style="7" customWidth="1"/>
    <col min="7" max="7" width="1.7109375" style="7" customWidth="1"/>
    <col min="8" max="16384" width="8.85546875" style="7"/>
  </cols>
  <sheetData>
    <row r="1" spans="1:6" ht="15.75" x14ac:dyDescent="0.25">
      <c r="A1" s="8" t="s">
        <v>124</v>
      </c>
      <c r="B1" s="8"/>
      <c r="C1" s="8"/>
    </row>
    <row r="2" spans="1:6" ht="8.1" customHeight="1" x14ac:dyDescent="0.2"/>
    <row r="3" spans="1:6" ht="15.75" x14ac:dyDescent="0.25">
      <c r="A3" s="25"/>
      <c r="B3" s="26" t="s">
        <v>72</v>
      </c>
      <c r="C3" s="26" t="s">
        <v>73</v>
      </c>
      <c r="D3" s="26" t="s">
        <v>74</v>
      </c>
      <c r="E3" s="26" t="s">
        <v>91</v>
      </c>
      <c r="F3" s="26" t="s">
        <v>92</v>
      </c>
    </row>
    <row r="4" spans="1:6" ht="15.75" x14ac:dyDescent="0.25">
      <c r="A4" s="27" t="s">
        <v>75</v>
      </c>
      <c r="B4" s="25"/>
      <c r="C4" s="25"/>
      <c r="D4" s="25"/>
      <c r="E4" s="25"/>
      <c r="F4" s="25"/>
    </row>
    <row r="5" spans="1:6" ht="15.75" x14ac:dyDescent="0.25">
      <c r="A5" s="27" t="s">
        <v>76</v>
      </c>
      <c r="B5" s="118">
        <f>B6</f>
        <v>198000</v>
      </c>
      <c r="C5" s="118">
        <f>C6</f>
        <v>198000</v>
      </c>
      <c r="D5" s="118">
        <f>D6</f>
        <v>198000</v>
      </c>
      <c r="E5" s="118">
        <f>E6</f>
        <v>198000</v>
      </c>
      <c r="F5" s="118">
        <f>F6</f>
        <v>248000</v>
      </c>
    </row>
    <row r="6" spans="1:6" x14ac:dyDescent="0.2">
      <c r="A6" s="25" t="s">
        <v>122</v>
      </c>
      <c r="B6" s="119">
        <v>198000</v>
      </c>
      <c r="C6" s="119">
        <v>198000</v>
      </c>
      <c r="D6" s="119">
        <v>198000</v>
      </c>
      <c r="E6" s="119">
        <v>198000</v>
      </c>
      <c r="F6" s="119">
        <v>248000</v>
      </c>
    </row>
    <row r="7" spans="1:6" ht="3.95" customHeight="1" x14ac:dyDescent="0.2">
      <c r="A7" s="25"/>
      <c r="B7" s="100"/>
      <c r="C7" s="100"/>
      <c r="D7" s="100"/>
      <c r="E7" s="100"/>
      <c r="F7" s="100"/>
    </row>
    <row r="8" spans="1:6" ht="15.75" x14ac:dyDescent="0.25">
      <c r="A8" s="27" t="s">
        <v>77</v>
      </c>
      <c r="B8" s="120">
        <f>SUM(B9:B11)</f>
        <v>2510227</v>
      </c>
      <c r="C8" s="120">
        <f>SUM(C9:C11)</f>
        <v>3113061</v>
      </c>
      <c r="D8" s="120">
        <f t="shared" ref="D8:F8" si="0">SUM(D9:D11)</f>
        <v>3488054</v>
      </c>
      <c r="E8" s="120">
        <f t="shared" si="0"/>
        <v>5433041</v>
      </c>
      <c r="F8" s="120">
        <f t="shared" si="0"/>
        <v>11126888</v>
      </c>
    </row>
    <row r="9" spans="1:6" x14ac:dyDescent="0.2">
      <c r="A9" s="25" t="s">
        <v>114</v>
      </c>
      <c r="B9" s="121">
        <v>2427691</v>
      </c>
      <c r="C9" s="121">
        <v>3016545</v>
      </c>
      <c r="D9" s="121">
        <f>'Revenue Forecast'!D68</f>
        <v>3315600</v>
      </c>
      <c r="E9" s="121">
        <f>'Revenue Forecast'!E68</f>
        <v>3912408</v>
      </c>
      <c r="F9" s="121">
        <f>'Revenue Forecast'!F68</f>
        <v>5086132</v>
      </c>
    </row>
    <row r="10" spans="1:6" x14ac:dyDescent="0.2">
      <c r="A10" s="25" t="s">
        <v>89</v>
      </c>
      <c r="B10" s="122">
        <v>0</v>
      </c>
      <c r="C10" s="122">
        <v>0</v>
      </c>
      <c r="D10" s="122">
        <v>0</v>
      </c>
      <c r="E10" s="122">
        <f>'5 Year cash flow projections'!E41</f>
        <v>1317138</v>
      </c>
      <c r="F10" s="122">
        <f>'5 Year cash flow projections'!F41</f>
        <v>5776212</v>
      </c>
    </row>
    <row r="11" spans="1:6" x14ac:dyDescent="0.2">
      <c r="A11" s="25" t="s">
        <v>78</v>
      </c>
      <c r="B11" s="123">
        <f>ROUND(10%*'5 year income statement'!B5,0)</f>
        <v>82536</v>
      </c>
      <c r="C11" s="123">
        <f>ROUND(10%*'5 year income statement'!C5,0)</f>
        <v>96516</v>
      </c>
      <c r="D11" s="123">
        <f>ROUND(10%*'5 year income statement'!D5,0)</f>
        <v>172454</v>
      </c>
      <c r="E11" s="123">
        <f>ROUND(10%*'5 year income statement'!E5,0)</f>
        <v>203495</v>
      </c>
      <c r="F11" s="123">
        <f>ROUND(10%*'5 year income statement'!F5,0)</f>
        <v>264544</v>
      </c>
    </row>
    <row r="12" spans="1:6" ht="6.95" customHeight="1" x14ac:dyDescent="0.2">
      <c r="A12" s="25"/>
      <c r="B12" s="102"/>
      <c r="C12" s="102"/>
      <c r="D12" s="102"/>
      <c r="E12" s="102"/>
      <c r="F12" s="102"/>
    </row>
    <row r="13" spans="1:6" ht="16.5" thickBot="1" x14ac:dyDescent="0.3">
      <c r="A13" s="28" t="s">
        <v>79</v>
      </c>
      <c r="B13" s="124">
        <f>+B5+B8</f>
        <v>2708227</v>
      </c>
      <c r="C13" s="124">
        <f>+C5+C8</f>
        <v>3311061</v>
      </c>
      <c r="D13" s="124">
        <f>+D5+D8</f>
        <v>3686054</v>
      </c>
      <c r="E13" s="124">
        <f>+E5+E8</f>
        <v>5631041</v>
      </c>
      <c r="F13" s="124">
        <f>+F5+F8</f>
        <v>11374888</v>
      </c>
    </row>
    <row r="14" spans="1:6" ht="5.0999999999999996" customHeight="1" thickTop="1" x14ac:dyDescent="0.2">
      <c r="A14" s="25"/>
      <c r="B14" s="102"/>
      <c r="C14" s="100"/>
      <c r="D14" s="100"/>
      <c r="E14" s="100"/>
      <c r="F14" s="100"/>
    </row>
    <row r="15" spans="1:6" ht="15.75" x14ac:dyDescent="0.25">
      <c r="A15" s="27" t="s">
        <v>90</v>
      </c>
      <c r="B15" s="100"/>
      <c r="C15" s="100"/>
      <c r="D15" s="100"/>
      <c r="E15" s="100"/>
      <c r="F15" s="100"/>
    </row>
    <row r="16" spans="1:6" ht="15.75" x14ac:dyDescent="0.25">
      <c r="A16" s="57" t="s">
        <v>95</v>
      </c>
      <c r="B16" s="125">
        <f>+B17+B18</f>
        <v>40000</v>
      </c>
      <c r="C16" s="118">
        <f>+C17+C18</f>
        <v>40000</v>
      </c>
      <c r="D16" s="118">
        <f>+D17+D18</f>
        <v>2079755</v>
      </c>
      <c r="E16" s="118">
        <f>+E17+E18</f>
        <v>2788005</v>
      </c>
      <c r="F16" s="118">
        <f>+F17+F18</f>
        <v>4866275</v>
      </c>
    </row>
    <row r="17" spans="1:6" x14ac:dyDescent="0.2">
      <c r="A17" s="25" t="s">
        <v>80</v>
      </c>
      <c r="B17" s="121">
        <v>40000</v>
      </c>
      <c r="C17" s="121">
        <v>40000</v>
      </c>
      <c r="D17" s="121">
        <v>40000</v>
      </c>
      <c r="E17" s="121">
        <v>40000</v>
      </c>
      <c r="F17" s="121">
        <v>40000</v>
      </c>
    </row>
    <row r="18" spans="1:6" x14ac:dyDescent="0.2">
      <c r="A18" s="25" t="s">
        <v>93</v>
      </c>
      <c r="B18" s="123">
        <v>0</v>
      </c>
      <c r="C18" s="123">
        <v>0</v>
      </c>
      <c r="D18" s="123">
        <f>'5 year income statement'!D29</f>
        <v>2039755</v>
      </c>
      <c r="E18" s="123">
        <f>'5 year income statement'!E29</f>
        <v>2748005</v>
      </c>
      <c r="F18" s="123">
        <f>'5 year income statement'!F29</f>
        <v>4826275</v>
      </c>
    </row>
    <row r="19" spans="1:6" ht="9.9499999999999993" customHeight="1" x14ac:dyDescent="0.2">
      <c r="A19" s="29"/>
      <c r="B19" s="100"/>
      <c r="C19" s="100"/>
      <c r="D19" s="100"/>
      <c r="E19" s="100"/>
      <c r="F19" s="100"/>
    </row>
    <row r="20" spans="1:6" ht="15.75" x14ac:dyDescent="0.25">
      <c r="A20" s="27" t="s">
        <v>81</v>
      </c>
      <c r="B20" s="118">
        <f>+B21+B22</f>
        <v>946344</v>
      </c>
      <c r="C20" s="118">
        <f>+C21+C22</f>
        <v>885582</v>
      </c>
      <c r="D20" s="118">
        <f>+D21+D22</f>
        <v>816775</v>
      </c>
      <c r="E20" s="118">
        <f>+E21+E22</f>
        <v>738856</v>
      </c>
      <c r="F20" s="118">
        <f>+F21+F22</f>
        <v>650620</v>
      </c>
    </row>
    <row r="21" spans="1:6" x14ac:dyDescent="0.2">
      <c r="A21" s="25" t="s">
        <v>82</v>
      </c>
      <c r="B21" s="121">
        <v>0</v>
      </c>
      <c r="C21" s="121">
        <v>0</v>
      </c>
      <c r="D21" s="121">
        <v>0</v>
      </c>
      <c r="E21" s="121">
        <v>0</v>
      </c>
      <c r="F21" s="121">
        <v>0</v>
      </c>
    </row>
    <row r="22" spans="1:6" x14ac:dyDescent="0.2">
      <c r="A22" s="25" t="s">
        <v>83</v>
      </c>
      <c r="B22" s="123">
        <v>946344</v>
      </c>
      <c r="C22" s="123">
        <v>885582</v>
      </c>
      <c r="D22" s="123">
        <v>816775</v>
      </c>
      <c r="E22" s="123">
        <v>738856</v>
      </c>
      <c r="F22" s="123">
        <v>650620</v>
      </c>
    </row>
    <row r="23" spans="1:6" ht="8.1" customHeight="1" x14ac:dyDescent="0.2">
      <c r="A23" s="25"/>
      <c r="B23" s="100"/>
      <c r="C23" s="100"/>
      <c r="D23" s="100"/>
      <c r="E23" s="100"/>
      <c r="F23" s="100"/>
    </row>
    <row r="24" spans="1:6" ht="15.75" x14ac:dyDescent="0.25">
      <c r="A24" s="57" t="s">
        <v>84</v>
      </c>
      <c r="B24" s="118">
        <f>SUM(B25:B28)</f>
        <v>1721883</v>
      </c>
      <c r="C24" s="118">
        <f t="shared" ref="C24:F24" si="1">SUM(C25:C28)</f>
        <v>2385479</v>
      </c>
      <c r="D24" s="118">
        <f t="shared" si="1"/>
        <v>1610324</v>
      </c>
      <c r="E24" s="118">
        <f t="shared" si="1"/>
        <v>3126580</v>
      </c>
      <c r="F24" s="118">
        <f t="shared" si="1"/>
        <v>7210873</v>
      </c>
    </row>
    <row r="25" spans="1:6" x14ac:dyDescent="0.2">
      <c r="A25" s="25" t="s">
        <v>86</v>
      </c>
      <c r="B25" s="121">
        <v>361900</v>
      </c>
      <c r="C25" s="121">
        <v>411525</v>
      </c>
      <c r="D25" s="121">
        <v>1060014</v>
      </c>
      <c r="E25" s="121">
        <v>2950929</v>
      </c>
      <c r="F25" s="121">
        <v>7035222</v>
      </c>
    </row>
    <row r="26" spans="1:6" x14ac:dyDescent="0.2">
      <c r="A26" s="25" t="s">
        <v>87</v>
      </c>
      <c r="B26" s="122">
        <v>53656</v>
      </c>
      <c r="C26" s="122">
        <v>60761</v>
      </c>
      <c r="D26" s="122">
        <v>68807</v>
      </c>
      <c r="E26" s="122">
        <v>77918</v>
      </c>
      <c r="F26" s="122">
        <v>88236</v>
      </c>
    </row>
    <row r="27" spans="1:6" x14ac:dyDescent="0.2">
      <c r="A27" s="29" t="s">
        <v>85</v>
      </c>
      <c r="B27" s="123">
        <v>121995</v>
      </c>
      <c r="C27" s="123">
        <v>114890</v>
      </c>
      <c r="D27" s="123">
        <v>106844</v>
      </c>
      <c r="E27" s="123">
        <v>97733</v>
      </c>
      <c r="F27" s="123">
        <v>87415</v>
      </c>
    </row>
    <row r="28" spans="1:6" x14ac:dyDescent="0.2">
      <c r="A28" s="29" t="s">
        <v>121</v>
      </c>
      <c r="B28" s="102">
        <v>1184332</v>
      </c>
      <c r="C28" s="102">
        <v>1798303</v>
      </c>
      <c r="D28" s="102">
        <v>374659</v>
      </c>
      <c r="E28" s="102">
        <v>0</v>
      </c>
      <c r="F28" s="102">
        <v>0</v>
      </c>
    </row>
    <row r="29" spans="1:6" ht="6" customHeight="1" x14ac:dyDescent="0.2">
      <c r="A29" s="9"/>
      <c r="B29" s="100"/>
      <c r="C29" s="100"/>
      <c r="D29" s="100"/>
      <c r="E29" s="100"/>
      <c r="F29" s="100"/>
    </row>
    <row r="30" spans="1:6" ht="16.5" thickBot="1" x14ac:dyDescent="0.3">
      <c r="A30" s="28" t="s">
        <v>88</v>
      </c>
      <c r="B30" s="124">
        <f>B16+B20+B24</f>
        <v>2708227</v>
      </c>
      <c r="C30" s="124">
        <f>C16+C20+C24</f>
        <v>3311061</v>
      </c>
      <c r="D30" s="124">
        <f>D16+D20+D24</f>
        <v>4506854</v>
      </c>
      <c r="E30" s="124">
        <f>E16+E20+E24</f>
        <v>6653441</v>
      </c>
      <c r="F30" s="124">
        <f>F16+F20+F24</f>
        <v>12727768</v>
      </c>
    </row>
    <row r="31" spans="1:6" ht="15.75" thickTop="1" x14ac:dyDescent="0.2">
      <c r="A31" s="25"/>
      <c r="B31" s="100">
        <f>B30-B13</f>
        <v>0</v>
      </c>
      <c r="C31" s="100">
        <f>C30-C13</f>
        <v>0</v>
      </c>
      <c r="D31" s="100">
        <f>D30-D13</f>
        <v>820800</v>
      </c>
      <c r="E31" s="100">
        <f t="shared" ref="E31:F31" si="2">E30-E13</f>
        <v>1022400</v>
      </c>
      <c r="F31" s="100">
        <f t="shared" si="2"/>
        <v>1352880</v>
      </c>
    </row>
    <row r="32" spans="1:6" x14ac:dyDescent="0.2">
      <c r="B32" s="16"/>
      <c r="C32" s="16"/>
      <c r="D32" s="16"/>
      <c r="E32" s="16"/>
      <c r="F32" s="16"/>
    </row>
    <row r="33" spans="1:4" ht="15.75" x14ac:dyDescent="0.25">
      <c r="A33" s="15" t="s">
        <v>126</v>
      </c>
      <c r="B33" s="14"/>
      <c r="C33" s="14"/>
      <c r="D33" s="14"/>
    </row>
  </sheetData>
  <pageMargins left="0.7" right="0.7" top="0.75" bottom="0.75" header="0.3" footer="0.3"/>
  <pageSetup paperSize="9" orientation="landscape" horizont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12 Months cash flow statement</vt:lpstr>
      <vt:lpstr>5 Year cash flow projections</vt:lpstr>
      <vt:lpstr>Revenue Forecast</vt:lpstr>
      <vt:lpstr>5 year income statement</vt:lpstr>
      <vt:lpstr>Balance sheet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mragophala</dc:creator>
  <cp:lastModifiedBy>Elliott</cp:lastModifiedBy>
  <cp:lastPrinted>2019-07-10T13:58:38Z</cp:lastPrinted>
  <dcterms:created xsi:type="dcterms:W3CDTF">2012-05-28T12:59:08Z</dcterms:created>
  <dcterms:modified xsi:type="dcterms:W3CDTF">2019-10-14T12:32:04Z</dcterms:modified>
</cp:coreProperties>
</file>